
<file path=[Content_Types].xml><?xml version="1.0" encoding="utf-8"?>
<Types xmlns="http://schemas.openxmlformats.org/package/2006/content-types">
  <Default Extension="vml" ContentType="application/vnd.openxmlformats-officedocument.vmlDrawing"/>
  <Default Extension="png" ContentType="image/png"/>
  <Default Extension="emf" ContentType="image/x-emf"/>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olors1.xml" ContentType="application/vnd.ms-office.chartcolorstyle+xml"/>
  <Override PartName="/xl/charts/colors2.xml" ContentType="application/vnd.ms-office.chartcolorstyle+xml"/>
  <Override PartName="/xl/charts/colors3.xml" ContentType="application/vnd.ms-office.chartcolorstyle+xml"/>
  <Override PartName="/xl/charts/colors4.xml" ContentType="application/vnd.ms-office.chartcolorstyle+xml"/>
  <Override PartName="/xl/charts/style1.xml" ContentType="application/vnd.ms-office.chartstyle+xml"/>
  <Override PartName="/xl/charts/style2.xml" ContentType="application/vnd.ms-office.chartstyle+xml"/>
  <Override PartName="/xl/charts/style3.xml" ContentType="application/vnd.ms-office.chartstyle+xml"/>
  <Override PartName="/xl/charts/style4.xml" ContentType="application/vnd.ms-office.chart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0" windowHeight="6800" tabRatio="921" firstSheet="2" activeTab="7"/>
  </bookViews>
  <sheets>
    <sheet name="Tipos Test" sheetId="12" r:id="rId1"/>
    <sheet name="Pretest" sheetId="13" r:id="rId2"/>
    <sheet name="Protocolo San Millan" sheetId="14" r:id="rId3"/>
    <sheet name="Datos PSM" sheetId="10" r:id="rId4"/>
    <sheet name="Aclarado" sheetId="15" r:id="rId5"/>
    <sheet name="Datos Aclarado" sheetId="11" r:id="rId6"/>
    <sheet name="Test Lactato" sheetId="7" r:id="rId7"/>
    <sheet name="Test Lactato y Zonas" sheetId="16" r:id="rId8"/>
    <sheet name="Cálculo Distancia" sheetId="8" r:id="rId9"/>
    <sheet name="Calculadora Puertos" sheetId="9" r:id="rId10"/>
  </sheets>
  <externalReferences>
    <externalReference r:id="rId11"/>
    <externalReference r:id="rId12"/>
    <externalReference r:id="rId13"/>
    <externalReference r:id="rId14"/>
  </externalReferences>
  <definedNames>
    <definedName name="a" localSheetId="5">#REF!</definedName>
    <definedName name="a">#REF!</definedName>
    <definedName name="AccessDatabase" hidden="1">"G:\My Documents\runlog.mdb"</definedName>
    <definedName name="_xlnm.Print_Area" localSheetId="3">'Datos PSM'!$C$3:$E$16</definedName>
    <definedName name="ASC" localSheetId="5">#REF!</definedName>
    <definedName name="ASC">#REF!</definedName>
    <definedName name="b" localSheetId="5">#REF!</definedName>
    <definedName name="b">#REF!</definedName>
    <definedName name="Cat">'[1]%Potencias'!$E$19</definedName>
    <definedName name="Categorias">[1]Tabla!$A$13:$A$15</definedName>
    <definedName name="cda" localSheetId="5">#REF!</definedName>
    <definedName name="cda">#REF!</definedName>
    <definedName name="contacto" localSheetId="5">#REF!</definedName>
    <definedName name="contacto">#REF!</definedName>
    <definedName name="crr" localSheetId="5">#REF!</definedName>
    <definedName name="crr">#REF!</definedName>
    <definedName name="CSS" localSheetId="5">#REF!</definedName>
    <definedName name="CSS">#REF!</definedName>
    <definedName name="d" localSheetId="5">#REF!</definedName>
    <definedName name="d">#REF!</definedName>
    <definedName name="DailyRange" localSheetId="5">#REF!</definedName>
    <definedName name="DailyRange">#REF!</definedName>
    <definedName name="dist" localSheetId="5">IF(dist_pref="Miles",miles,kilometers)</definedName>
    <definedName name="dist">IF(dist_pref="Miles",miles,kilometers)</definedName>
    <definedName name="dist?" localSheetId="5">IF(dist_pref="Miles",miles,kilometers)</definedName>
    <definedName name="dist?">IF(dist_pref="Miles",miles,kilometers)</definedName>
    <definedName name="distance" localSheetId="5">#REF!</definedName>
    <definedName name="distance">#REF!</definedName>
    <definedName name="distancia">[2]rTss!$I$3</definedName>
    <definedName name="factorA">[2]TRIMP!$G$14</definedName>
    <definedName name="factorB">[2]TRIMP!$G$15</definedName>
    <definedName name="FCMax">[2]TRIMP!$G$4</definedName>
    <definedName name="FCReposo">[2]TRIMP!$G$5</definedName>
    <definedName name="FT" localSheetId="5">#REF!</definedName>
    <definedName name="FT">#REF!</definedName>
    <definedName name="fVO2max">'[3]Niveles de Intensidad'!$D$10</definedName>
    <definedName name="g" localSheetId="5">#REF!</definedName>
    <definedName name="g">#REF!</definedName>
    <definedName name="h" localSheetId="5">#REF!</definedName>
    <definedName name="h">#REF!</definedName>
    <definedName name="I_Pace">[2]rTss!$I$6</definedName>
    <definedName name="IF" localSheetId="5">#REF!</definedName>
    <definedName name="IF">#REF!</definedName>
    <definedName name="L" localSheetId="5">#REF!</definedName>
    <definedName name="L">#REF!</definedName>
    <definedName name="m" localSheetId="5">#REF!</definedName>
    <definedName name="m">#REF!</definedName>
    <definedName name="NP" localSheetId="5">#REF!</definedName>
    <definedName name="NP">#REF!</definedName>
    <definedName name="P" localSheetId="5">#REF!</definedName>
    <definedName name="P">#REF!</definedName>
    <definedName name="Peso" localSheetId="5">#REF!</definedName>
    <definedName name="Peso">#REF!</definedName>
    <definedName name="rho" localSheetId="5">#REF!</definedName>
    <definedName name="rho">#REF!</definedName>
    <definedName name="s" localSheetId="5">#REF!</definedName>
    <definedName name="s">#REF!</definedName>
    <definedName name="SwTpace" localSheetId="5">#REF!</definedName>
    <definedName name="SwTpace">#REF!</definedName>
    <definedName name="T" localSheetId="5">#REF!</definedName>
    <definedName name="T">#REF!</definedName>
    <definedName name="T_1" localSheetId="5">#REF!</definedName>
    <definedName name="T_1">#REF!</definedName>
    <definedName name="T_2" localSheetId="5">#REF!</definedName>
    <definedName name="T_2">#REF!</definedName>
    <definedName name="T_Pace">[2]rTss!$I$7</definedName>
    <definedName name="TablaPercentil">#REF!</definedName>
    <definedName name="TABLE_1">#REF!</definedName>
    <definedName name="Tau" localSheetId="5">#REF!</definedName>
    <definedName name="Tau">#REF!</definedName>
    <definedName name="tiempo">[2]rTss!$I$4</definedName>
    <definedName name="time">'[3]Niveles de Intensidad'!$D$7</definedName>
    <definedName name="TOTAZUL" localSheetId="5">OFFSET([4]Bilbo!$F$3,0,0,COUNT([4]Bilbo!$F$3:$F$19))</definedName>
    <definedName name="TOTAZUL">OFFSET([1]Bilbo!$F$3,0,0,COUNT([1]Bilbo!$F$3:$F$19))</definedName>
    <definedName name="TOTMARRON" localSheetId="5">OFFSET([4]Bilbo!$L$3,0,0,COUNT([4]Bilbo!$L$3:$L$19))</definedName>
    <definedName name="TOTMARRON">OFFSET([1]Bilbo!$L$3,0,0,COUNT([1]Bilbo!$L$3:$L$19))</definedName>
    <definedName name="TOTROJO" localSheetId="5">OFFSET([4]Bilbo!$R$3,0,0,COUNT([4]Bilbo!$R$3:$R$19))</definedName>
    <definedName name="TOTROJO">OFFSET([1]Bilbo!$R$3,0,0,COUNT([1]Bilbo!$R$3:$R$19))</definedName>
    <definedName name="TPace">'[3]Niveles de Intensidad'!$G$18</definedName>
    <definedName name="TT" localSheetId="5">#REF!</definedName>
    <definedName name="TT">#REF!</definedName>
    <definedName name="v" localSheetId="5">#REF!</definedName>
    <definedName name="v">#REF!</definedName>
    <definedName name="VDOT">[2]rTss!$I$5</definedName>
    <definedName name="VDOT_Table">'[1]VDOT Triathlon'!$A$1:$L$37</definedName>
    <definedName name="VO2test">'[3]Niveles de Intensidad'!$D$9</definedName>
    <definedName name="vv" localSheetId="5">#REF!</definedName>
    <definedName name="vv">#REF!</definedName>
    <definedName name="vVO2max">'[3]Niveles de Intensidad'!$D$12</definedName>
    <definedName name="W" localSheetId="5">#REF!</definedName>
    <definedName name="W">#REF!</definedName>
    <definedName name="WeeklyRange" localSheetId="5">#REF!</definedName>
    <definedName name="WeeklyRange">#REF!</definedName>
    <definedName name="xPower" localSheetId="5">#REF!</definedName>
    <definedName name="xPow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Saul Armendariz</author>
  </authors>
  <commentList>
    <comment ref="D11" authorId="0">
      <text>
        <r>
          <rPr>
            <b/>
            <sz val="9"/>
            <rFont val="Tahoma"/>
            <charset val="134"/>
          </rPr>
          <t>Potencia asociada a 4mmol</t>
        </r>
      </text>
    </comment>
  </commentList>
</comments>
</file>

<file path=xl/comments2.xml><?xml version="1.0" encoding="utf-8"?>
<comments xmlns="http://schemas.openxmlformats.org/spreadsheetml/2006/main">
  <authors>
    <author>Saul Armendariz</author>
  </authors>
  <commentList>
    <comment ref="S12" authorId="0">
      <text>
        <r>
          <rPr>
            <b/>
            <sz val="9"/>
            <rFont val="Tahoma"/>
            <charset val="134"/>
          </rPr>
          <t>Para sujetos más anaeróbicos buscar menos tiempo (&lt;30") y para mas aeróbicos buscar más tiempo (&lt;1´)</t>
        </r>
      </text>
    </comment>
  </commentList>
</comments>
</file>

<file path=xl/comments3.xml><?xml version="1.0" encoding="utf-8"?>
<comments xmlns="http://schemas.openxmlformats.org/spreadsheetml/2006/main">
  <authors>
    <author>Saul Armendariz</author>
  </authors>
  <commentList>
    <comment ref="E9" authorId="0">
      <text>
        <r>
          <rPr>
            <b/>
            <sz val="9"/>
            <rFont val="Times New Roman"/>
            <charset val="0"/>
          </rPr>
          <t>Máxima Segunda Derivada del Lactato</t>
        </r>
        <r>
          <rPr>
            <sz val="9"/>
            <rFont val="Times New Roman"/>
            <charset val="0"/>
          </rPr>
          <t>) se define como el punto del test incremental donde la aceleración en la acumulación de lactato sanguíneo es máxima
Basado en: Newell, J., Higgins, D., Madden, N., Cruickshank, J., Einbeck, J., McMillan, K., &amp; McDonald, R. (2007). Software for calculating blood lactate endurance markers. Journal of Sports Sciences, 25(12), 1403-1409</t>
        </r>
      </text>
    </comment>
    <comment ref="F18" authorId="0">
      <text>
        <r>
          <rPr>
            <sz val="9"/>
            <rFont val="Times New Roman"/>
            <charset val="0"/>
          </rPr>
          <t>Basado en Heck y colaboradores (1985) 
"Justification of the 4-mmol/l lactate threshold"</t>
        </r>
      </text>
    </comment>
    <comment ref="F19" authorId="0">
      <text>
        <r>
          <rPr>
            <b/>
            <sz val="9"/>
            <rFont val="Times New Roman"/>
            <charset val="0"/>
          </rPr>
          <t xml:space="preserve">Basado en </t>
        </r>
        <r>
          <rPr>
            <sz val="9"/>
            <rFont val="Times New Roman"/>
            <charset val="0"/>
          </rPr>
          <t>Cheng et al. en 1992 "A new approach for determining the ventilatory threshold", Medicine and Science in Sports and Exercise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<sst xmlns="http://schemas.openxmlformats.org/spreadsheetml/2006/main" count="312" uniqueCount="257">
  <si>
    <t>LT1</t>
  </si>
  <si>
    <t>LT1 es la carga que produce 1mmol/L respecto a la linea basal</t>
  </si>
  <si>
    <t>La línea basal la forman todas las determinaciones de lactato que no superan 0,8mmol/L respecto del valor de reposo a diferencia de los umbrales LT1(basal+0,5) y LT2(basal+2)</t>
  </si>
  <si>
    <t>LMSS</t>
  </si>
  <si>
    <t>MLSS es la intensidad constante que produce un incremento de 1mmol/L entre los minutos 10-30´ (Beneke, 2003)</t>
  </si>
  <si>
    <t>El tiempo de 30´ se debe a que una vez superado el MLSS es dificil llegar a ese tiempo</t>
  </si>
  <si>
    <t>Lo normal es que no se acierte justo en 1 mmol, sino que quede ligeramente por debajo o por encima. Es por ello que en función del resultado del 1º trial MLSS (aprox. Carga del LT), la carga se incrementa o reduce para el siguiente intento 0,2 w/kg (15w) o en 0,5 km/h en caso de que la lactemia objetivo no se alcanzase por defecto o exceso respectivamente, por la imposibilidad de acertar con un incremento de 1mmol. En este caso interpolamos y cogemos el valor medio entre los dos. Este test sirve para carrera a pie y para ciclismo.</t>
  </si>
  <si>
    <t>Como referencia para empezar con las cargas del test y si no tienes anteriormente ninguna, puedes usar el 70% de la PAM como primera carga del test. A partir de ahí, 0,2 w/kg si estas en bici y 0,5km/h si estar corriendo</t>
  </si>
  <si>
    <t>Para valorar dicho test de MLSS en carrera y ciclismo las soluciones que se proponen Pallares et al. (2016) se dieron cuenta que existía una alta correspondencia entre el MLSS y LT+0,5mmol para ciclismo y LT+1mmol para la carrera a pie (ver figura 9.3). Esta correspondencia se daba en 7-8(10) sujetos. Para ello utilizaron un test incremental máximo o submáximo en rampa.</t>
  </si>
  <si>
    <t>1DAY MLSS</t>
  </si>
  <si>
    <t>Otro de los test de estimación del MLSS en ciclismo es el “1day-MLSS” que consiste en un test de escalones de 10 minutos. Dicho test se realiza en laboratorio y lo que viene a hacer es condensar los 3-4 días del test de MLSS en un solo día y sin recuperación incrementando 0,2 w/kg iniciando la primera intensidad en el umbral láctico. En total son 40 min de test. La primera carga corresponde al 60% de la PAM con 3 incrementos posteriores de 0,2 w/kg (15w) buscando el incremento de 1mmol entre los minutos 10 y 30. Los valores de lactato se ingresan al final de cada escalón. El MLSSS se localiza en la carga (w) del último escalón completado en el que el lactato es igual a 1mmol más elevada que el escalón anterior. En 9/10 personas se acierta con la intensidad con un error de menos de 15w, acertando con la intensidad del test GOLD ESTANDAR anterior. Dicho test es válido, sencillo, rápido y no pacing (ver figura 9.4).</t>
  </si>
  <si>
    <t>UANAE</t>
  </si>
  <si>
    <t>Para el umbral anaeróbico en ciclismo y carrera y su valoración, podemos decir que dicho hito fisiológico se corresponde para 8/10 atletas en LT+2mmol (ciclismo) y LT+3mmol (carrera), o lo que es lo mismo, en un test incremental máximo o submáximo en rampa (final en 12-14 min), el VT2 se puede localizar en la carga que produce un incremento de 2.0 y 3.0 mmol/L respecto a la línea basal, respectivamente (ver figura 9.5).</t>
  </si>
  <si>
    <t>TEST MINIMO 
LACTATO (LMT)</t>
  </si>
  <si>
    <t>Otro test de lactato conocido es el Test Mínimo de Lactato (LMT). Dicho test consiste en medir la intensidad a la que se genera el mayor aclarado de lactato durante un test incremental escalonado precedido de un esfuerzo de alta intensidad y corta duración (300+200@R5) con recuperación entre esprints lo que cuesta volver a la posición inicial. Tras dicho esfuerzo de alta intensidad se dejan 8 minutos de descanso antes del inicio del test incremental. Dicho test es un esfuerzo muy grande y existen cosas mas precisas con menos coste</t>
  </si>
  <si>
    <t>RAMPA</t>
  </si>
  <si>
    <t>La literatura científica habla de todo esto si hacemos un incremental máximo y con una duración de entre 12-14min. La literatura internacional nos dice también que duraciones más largas o más cortas que esas, van a propiciar que no se alcance el gasto cardiaco máximo de algunos participantes. Pruebas más largas de ese tiempo hacen que si corro muchos minutos por encima del umbral anaeróbico la acidosis será la causante de se impida alcanzar dicho gasto cardiaco máximo (ya controlado de otros test previos). Protocolos de menos de 8-10 minutos hacen que no se alcance dicho gasto cardiaco máximo por que no da tiempo a que se active todo el metabolismo aeróbico. Es por eso que el mejor procedimiento es el de rampa que termina en 12-14 minutos. Protocolos escalonados más largos sirven para identificar la transición aeróbica-anaeróbica pero no para conseguir el gasto cardiaco máximo.</t>
  </si>
  <si>
    <t>CONCLUSIONES</t>
  </si>
  <si>
    <t>Para finalizar con los hitos podemos decir que tanto para ciclismo como para carrera de todos los test medidos y estudiados y puestos todos simultáneamente nos damos cuenta de que</t>
  </si>
  <si>
    <t>Condiciones Pre-Test</t>
  </si>
  <si>
    <t>El lactato esta influenciado por el cortisol y al despertarnos mantenemos excitación y cortisol alto y sube el lactato y cuando comes (desayuno) y cuando la glucosa sube en sangre empieza a iniciarse el proceso de glucólisis para quemar esa glucosa y te sube el lactato en reposo después de comer CHO. Para el calentamiento es importante no activar fibras tipo II porque las mediciones cambian porque estas fibras generan mucho lactato. Si se ha tomado algo hay que esperar hasta que baje el lactato por debajo de 1 o sea estable en dos mediciones seguidas en esos valores aprox. Durante 4-7 min. Es por eso que es importante que estas condiciones pretest sean respetadas.</t>
  </si>
  <si>
    <t>Dia previo descanso o salida suave</t>
  </si>
  <si>
    <t>Cena previa siempre igual asegurando carga de glucógeno</t>
  </si>
  <si>
    <t>Desayuno y comida previa estándar</t>
  </si>
  <si>
    <t>2gr/kg de CHO 2-3h antes</t>
  </si>
  <si>
    <t>En la última hora pretest no se ingieren alimentos, solo agua para evitar mediciones erróneas</t>
  </si>
  <si>
    <t>Calentamiento estándar</t>
  </si>
  <si>
    <t>No ingerir nada (agua se puede)</t>
  </si>
  <si>
    <t>No calentar fuerte (hacerlo suave durante 20 min por debajo del primer umbral</t>
  </si>
  <si>
    <t>No ponerse de pie al calentar</t>
  </si>
  <si>
    <t>Recomendaciones para hacer un test</t>
  </si>
  <si>
    <t>Palieres de 0,5w/kg incrementos</t>
  </si>
  <si>
    <t>Ambiente controlado (rodillo o subida constante) sala a 18º-21º</t>
  </si>
  <si>
    <t>Duración de 4-7 min</t>
  </si>
  <si>
    <t>Pinchar al final del palier y si se tiene curiosidad incluso en medio</t>
  </si>
  <si>
    <t>Cuantos más puntos tenga la curva más precisa y más € por tiras</t>
  </si>
  <si>
    <t>Simplificación a potencia 2 y 4 mmol y comparar en el tiempo</t>
  </si>
  <si>
    <t>Determinar en base a la curva suele ser complejo debido a la cinética individual del lactato</t>
  </si>
  <si>
    <t>Controla la potencia y pulso a 2 y 4 mmol ya que el pulso a 2 mmol es el mismo entrenado o no (desentreno de 4 semanas más menos), lo que cambia es la potencia asociada a esos 2 mmol, a no ser que uno este muy desentrenado que es entonces cuando hay entre 10-20ppmm más. El pulso medio máximo cuando tú no has llegado a FTP vas a tardar unos minutos en llegar a ese pulso en ese palier y después será constante más o menos.
Como desayunando o sin desayunar cambia el test es importante que tengamos en cuenta. Puedes hacerte tú mismo el test con todo cerca encima de la bici en rodillo o incluso en una bandeja en la de carretera (incomodo).</t>
  </si>
  <si>
    <t>TENER EN CUENTA</t>
  </si>
  <si>
    <t>Si no entrenas (ej. 1 semana sin entrenar) y desayunas CHO te sale mucho más alto el lactato a potencia más bajas.</t>
  </si>
  <si>
    <t>Si estas en ayunas y la noche de antes cargas de CHO no suele haber afectación</t>
  </si>
  <si>
    <t>Si la noche antes te has pasado con el alcohol das más potencia.</t>
  </si>
  <si>
    <t>El sudor influye por eso te limpia.</t>
  </si>
  <si>
    <t>Si la noche antes cargas de CHO cambia el test.</t>
  </si>
  <si>
    <t>Si te haces un test de lactato y vas 2h a fuerte y te vuelves a hacer el test sale todo muy diferente.</t>
  </si>
  <si>
    <t>Si quieres medir rendimiento haz las pruebas en las mismas circunstancias</t>
  </si>
  <si>
    <t>Siempre sentado</t>
  </si>
  <si>
    <t>Las bajadas sin pedalear</t>
  </si>
  <si>
    <t>Si mides pronto (antes de 3´) lo normal es que siga subiendo, por eso esperar algún minuto más (4-7min)</t>
  </si>
  <si>
    <t>Personas glucolíticas en 4” pueden generar mucho lactato (12mmol)</t>
  </si>
  <si>
    <t>Para gente que no tiene entrenada la glucolisis podemos hacer 3-4 semanas de entreno SIT (Sprint Interval Training) y medir a ver si le sube en X tiempo</t>
  </si>
  <si>
    <t>La idea es trabajar 6-8 semanas y medir para ver cambios</t>
  </si>
  <si>
    <t>En el protocolo San Millán (figura 13) calientas 10 minutos a 2,5w/kg y cada palier en adelante 5 minutos hasta el 4º palier subiendo 0,5w/kg cada palier. La idea es dejar en los palieres suficiente tiempo para que la gráfica de lactato se aplane (estabilice) y así medir lo que verdaderamente generamos y evitar mediciones erróneas. Se puede pinchar en medio del palier para ver cómo va evolucionando el lactato. Podemos ver como el mFTP marca 230 y en el test los 4mmol están entre 217w y 248w coincidiendo en medio de los valores y siendo RPE hasta 8 que es lo que tiene que salir aprox.</t>
  </si>
  <si>
    <t>Cosas interesantes a saber es que entre 217w y 248w tiene su potencia a 4 mmol. Seguramente si miramos WKO vemos que mFTP saldrá entre esas cifras. Dichas cifras corresponden con RPE 6-8. Como es difícil que se den los 2 y 4 mmol hay que estimar o coger un valor cercano y ver la evolución de la potencia en ese valor.
En el palier 3º de 5 minutos hay un momento en el que se mantiene el torque, pero la cadencia cae (marcado con barra puntos suspensivos en 20:31). Justo en ese punto se dan 4 mmol.
La dinámica de la FC va subiendo de manera progresiva pega un salto se achata y al final vuelve a subir (pequeño cambio brusco en la FC) que se puede observar en mucha gente y que se ve al final del 3º palier de 5 minutos. Existe un cambio incluso en el patrón motor cuando se pasa al LT2 y se puede medir con sensores de electromiografía (el sujeto empieza a moverse diferente).</t>
  </si>
  <si>
    <t>Según los softwares de medición y análisis de datos ese punto de cambio el umbral está al 66% del VO2 máx. el T1 y al 86% del VO2 máx. el LT2. La prueba no termina al 100% del VO2 máx. como en una prueba escalonada de 1-2min. Se puede sacar la FC al FTP viendo la parte final en el último palier justo al empezar donde se aprecia que la FC no es estable y desde el inicio del palier se va incrementando constantemente. Esto es que ha pasado el FTP y se dispara.</t>
  </si>
  <si>
    <t>El test en ciclismo se realiza en una cuesta de unos minutos calculados o una distancia X que sabes que va a subir a tanta velocidad y nos ponemos al final del recorrido con el medidor para que cuando llegue se pueda pinchar de seguido. Si el atleta se pasa se deja caer los metros que se pasa sin pedalear y se le mide. Se puede comenzar el test calculando desde varios sitios diferentes para comenzar en relación a la velocidad de cada palier y marcarlos con una letra en la carretera al inicio de la cuesta (A, B, C, D…). La bajada de la cuesta después de medir se hace sin pedalear también. Es importante esto para que el deportista no empiece a aclarar lactato en la pedalada. De hacerlo está ayudando a eliminar el lactato que luego vas a medir en el caso de medirlo después de bajar hasta donde estas o empezar a subir de nuevo la cuesta con aclaración excesiva, llevando a error la medición.</t>
  </si>
  <si>
    <t xml:space="preserve"> </t>
  </si>
  <si>
    <r>
      <rPr>
        <b/>
        <sz val="11"/>
        <color theme="1"/>
        <rFont val="Calibri"/>
        <charset val="134"/>
        <scheme val="minor"/>
      </rPr>
      <t>FECHA</t>
    </r>
    <r>
      <rPr>
        <sz val="11"/>
        <color theme="1"/>
        <rFont val="Calibri"/>
        <charset val="134"/>
        <scheme val="minor"/>
      </rPr>
      <t>: 10-9-24</t>
    </r>
  </si>
  <si>
    <r>
      <rPr>
        <b/>
        <sz val="11"/>
        <color theme="1"/>
        <rFont val="Calibri"/>
        <charset val="134"/>
        <scheme val="minor"/>
      </rPr>
      <t>NOMBRE</t>
    </r>
    <r>
      <rPr>
        <sz val="11"/>
        <color theme="1"/>
        <rFont val="Calibri"/>
        <charset val="134"/>
        <scheme val="minor"/>
      </rPr>
      <t>: Rubio</t>
    </r>
  </si>
  <si>
    <t>Peso (kg):</t>
  </si>
  <si>
    <t>W/KG</t>
  </si>
  <si>
    <t>LACTATO</t>
  </si>
  <si>
    <t>POWER</t>
  </si>
  <si>
    <t>PULSO</t>
  </si>
  <si>
    <t>DURACION (m)</t>
  </si>
  <si>
    <t>10´rec 
(mmol x 100)</t>
  </si>
  <si>
    <t>RPE</t>
  </si>
  <si>
    <t>mmol</t>
  </si>
  <si>
    <t>watts</t>
  </si>
  <si>
    <t>lpm</t>
  </si>
  <si>
    <t>BASAL</t>
  </si>
  <si>
    <t>RELLENAR SOLO LACTATO, PULSO, DURACION Y RPE</t>
  </si>
  <si>
    <t>En la siguiente plantilla se puede ver cómo realizar el test de lactato. En la columna de “POWER” metemos entre 30-50 vatios una vez que tenemos la potencia asociada a 4mmol hacia arriba y hacia abajo (depende peso serán más 30w o más 50w). En la columna “LACTATO” vamos introduciendo los datos que nos da la medición y lo multiplicamos por 100 para escalar en la gráfica. También apuntamos el pulso para cada medición y el RPE.</t>
  </si>
  <si>
    <r>
      <rPr>
        <sz val="11"/>
        <color theme="1"/>
        <rFont val="Calibri"/>
        <charset val="134"/>
        <scheme val="minor"/>
      </rPr>
      <t xml:space="preserve">ANTES DEL TEST
1- Rellenar Fecha, nombre y </t>
    </r>
    <r>
      <rPr>
        <sz val="11"/>
        <color rgb="FF00B050"/>
        <rFont val="Calibri"/>
        <charset val="134"/>
        <scheme val="minor"/>
      </rPr>
      <t>PESO (en verde)</t>
    </r>
    <r>
      <rPr>
        <sz val="12"/>
        <color theme="1"/>
        <rFont val="Calibri"/>
        <charset val="134"/>
        <scheme val="minor"/>
      </rPr>
      <t xml:space="preserve">
2-En WKO5 mirar el mFTP y rellenar </t>
    </r>
    <r>
      <rPr>
        <sz val="11"/>
        <color theme="4"/>
        <rFont val="Calibri"/>
        <charset val="134"/>
        <scheme val="minor"/>
      </rPr>
      <t>POWER (en azul)</t>
    </r>
    <r>
      <rPr>
        <sz val="12"/>
        <color theme="1"/>
        <rFont val="Calibri"/>
        <charset val="134"/>
        <scheme val="minor"/>
      </rPr>
      <t xml:space="preserve"> en el penúltimo escalón, marcado en azul.
3- Rellena hacia abajo los siguientes escalones bajando aprox cada 0,4 a 0,6w/kg (30-50w)
DURANTE EL TEST
- Asegúrate que los palieres duren al menos 5 minutos, idealmente 10 min. hasta alcanzar LT1 y mas de 5 min. después. 
- Pregunta el pulso y RPE justo al acabar el palier. </t>
    </r>
  </si>
  <si>
    <t>B + 0,5</t>
  </si>
  <si>
    <t>RUN</t>
  </si>
  <si>
    <t>B + 1</t>
  </si>
  <si>
    <t>BIKE</t>
  </si>
  <si>
    <t>Determinar en base a la curva es complejo ya que a cada sujeto le corresponde una cinética individual del lactato. Es por eso que se suelen hacer test para conocer la capacidad glucolítica del deportista con un test Vlamax para poder incidir en el entrenamiento dependiendo de objetivos, pero a su vez nos interesa saber la aclaración del lactato del deportista para saber si dicha aclaración funciona bien o hay que incidir en entrenamientos que ayuden la misma antes de seguir con los objetivos establecidos, por lo que sería conveniente medirla.</t>
  </si>
  <si>
    <t>Dicho test de capacidad glucolítica nos ayuda a saber la cantidad de mmol/L/seg que el deportista es capaz de generar y sabiéndolo podemos influir en un tipo de entrenamiento u otro dependiendo de los objetivos establecidos. Tanto la potencia glucolítica como el VO2Máx están relacionados con el umbral anaeróbico. Si el VO2Máx se incrementa en relación con la potencia glucolítica el umbral anaeróbico se incrementa, por el contrario, si el VO2Máx disminuye en relación con la potencia glucolítica el umbral anaeróbico disminuye</t>
  </si>
  <si>
    <t>Para la aclaración del lactato se puede realizar un test all out de 20” (ver figura 17) y ver en cada momento post test (1´, 3´, 5´, y 10´) los niveles de lactato en sangre. Los % en colores es la aclaración en cada minuto medida en relación con el máximo lactato del test.</t>
  </si>
  <si>
    <t>Para sujetos aeróbicos o deportes de resistencia nos interesa estar entre 0,3-0,5mmo/L/seg de Vlamax. De hecho, variara un poco desde 0,3 para disciplinas de resistencia como ironman 140.6 o 0,5 para un ironman 70.3. La potencia glucolítica varía también entre deportistas ya que si un deportista tiene una gran capacidad aeróbica (VO2máx alto) podrá tener una mayor potencia glucolítica sin que el umbral anaeróbico disminuya tanto. Para la aclaración del lactato se puede</t>
  </si>
  <si>
    <t>Para realizar el test de Vlamax o capacidad glucolítica es importante que tengamos en cuenta que, así como decía Mader y Heck que teníamos que restar el tiempo aláctico porque en los primeros 4” la energía se aporta de la vía glucolítica, es cierto que una vez nos hemos dado cuenta que existen sujetos que solo en 4” generan grandes cantidades de lactato, por lo que ese tiempo no se tiene en cuenta y la formula quedaría:</t>
  </si>
  <si>
    <t>Vlamax = (Lac máx. – Lac basal) (mmol/L) / duración all out (seg)</t>
  </si>
  <si>
    <t>FECHA:</t>
  </si>
  <si>
    <t>NOMBRE:</t>
  </si>
  <si>
    <t>José Antonio López</t>
  </si>
  <si>
    <t>PESO</t>
  </si>
  <si>
    <t>POTENCIA</t>
  </si>
  <si>
    <t>LACTATO (mmol/L) x 10</t>
  </si>
  <si>
    <t>kg</t>
  </si>
  <si>
    <t>Tras 1000 KJ</t>
  </si>
  <si>
    <t>Tras 2000 KJ</t>
  </si>
  <si>
    <t>Tras 3000 KJ</t>
  </si>
  <si>
    <t>Basal x 10</t>
  </si>
  <si>
    <t>FC</t>
  </si>
  <si>
    <t>RPE x 10</t>
  </si>
  <si>
    <t>Basal</t>
  </si>
  <si>
    <t>FASE 1</t>
  </si>
  <si>
    <t>FASE 2</t>
  </si>
  <si>
    <t>FASE 3</t>
  </si>
  <si>
    <t>ALL OUT (20")</t>
  </si>
  <si>
    <t>%Fcmáx</t>
  </si>
  <si>
    <t>POST 1´</t>
  </si>
  <si>
    <t>POST 3´</t>
  </si>
  <si>
    <t>POST 5´</t>
  </si>
  <si>
    <t>POST 8´</t>
  </si>
  <si>
    <t>POST 10´</t>
  </si>
  <si>
    <t>POST 20´</t>
  </si>
  <si>
    <t>Vlamax (mmol/L/seg) 
MADER Y HECK</t>
  </si>
  <si>
    <t>Vlamax (mmol/L/seg) 
WKO5</t>
  </si>
  <si>
    <t>FC (ppm)</t>
  </si>
  <si>
    <t>https://www.uiginn.com/lactate/e-support/help.html</t>
  </si>
  <si>
    <t>Las zonas de entrenamiento</t>
  </si>
  <si>
    <t xml:space="preserve">basado en J. Newell, D. Higgins, N. Madden, J. Cruikshank, J. Einbeck, K. McMillan y R. McDonald. Software para el cálculo de marcadores de resistencia del lactato sanguíneo . Journal of Sports Sciences , 25:12 (2007), págs. 1403-1409. </t>
  </si>
  <si>
    <t>Las zonas de entrenamiento se calculan a partir de los valores de frecuencia cardíaca de la siguiente manera:</t>
  </si>
  <si>
    <t>Método AIS/Adaptación</t>
  </si>
  <si>
    <r>
      <rPr>
        <sz val="12"/>
        <color theme="1"/>
        <rFont val="Calibri"/>
        <charset val="134"/>
        <scheme val="minor"/>
      </rPr>
      <t xml:space="preserve">LT </t>
    </r>
    <r>
      <rPr>
        <vertAlign val="subscript"/>
        <sz val="12"/>
        <color theme="1"/>
        <rFont val="Calibri"/>
        <charset val="134"/>
      </rPr>
      <t xml:space="preserve">1 </t>
    </r>
    <r>
      <rPr>
        <sz val="12"/>
        <color theme="1"/>
        <rFont val="Calibri"/>
        <charset val="134"/>
      </rPr>
      <t>= Frecuencia cardíaca equivalente a un aumento de 0,4 mmol en el lactato por encima del valor basal.</t>
    </r>
  </si>
  <si>
    <r>
      <rPr>
        <sz val="12"/>
        <color theme="1"/>
        <rFont val="Calibri"/>
        <charset val="134"/>
        <scheme val="minor"/>
      </rPr>
      <t xml:space="preserve">LT </t>
    </r>
    <r>
      <rPr>
        <vertAlign val="subscript"/>
        <sz val="12"/>
        <color theme="1"/>
        <rFont val="Calibri"/>
        <charset val="134"/>
      </rPr>
      <t xml:space="preserve">2 </t>
    </r>
    <r>
      <rPr>
        <sz val="12"/>
        <color theme="1"/>
        <rFont val="Calibri"/>
        <charset val="134"/>
      </rPr>
      <t>= Frecuencia cardíaca equivalente al marcador Dmax modificado.</t>
    </r>
  </si>
  <si>
    <r>
      <rPr>
        <sz val="12"/>
        <color theme="1"/>
        <rFont val="Calibri"/>
        <charset val="134"/>
        <scheme val="minor"/>
      </rPr>
      <t xml:space="preserve">z </t>
    </r>
    <r>
      <rPr>
        <vertAlign val="subscript"/>
        <sz val="12"/>
        <color theme="1"/>
        <rFont val="Calibri"/>
        <charset val="134"/>
      </rPr>
      <t xml:space="preserve">1 </t>
    </r>
    <r>
      <rPr>
        <sz val="12"/>
        <color theme="1"/>
        <rFont val="Calibri"/>
        <charset val="134"/>
      </rPr>
      <t>:</t>
    </r>
  </si>
  <si>
    <r>
      <rPr>
        <sz val="12"/>
        <color theme="1"/>
        <rFont val="Calibri"/>
        <charset val="134"/>
        <scheme val="minor"/>
      </rPr>
      <t xml:space="preserve">x &lt; LT </t>
    </r>
    <r>
      <rPr>
        <vertAlign val="subscript"/>
        <sz val="12"/>
        <color theme="1"/>
        <rFont val="Calibri"/>
        <charset val="134"/>
      </rPr>
      <t>1</t>
    </r>
  </si>
  <si>
    <r>
      <rPr>
        <sz val="12"/>
        <color theme="1"/>
        <rFont val="Calibri"/>
        <charset val="134"/>
        <scheme val="minor"/>
      </rPr>
      <t xml:space="preserve">z </t>
    </r>
    <r>
      <rPr>
        <vertAlign val="subscript"/>
        <sz val="12"/>
        <color theme="1"/>
        <rFont val="Calibri"/>
        <charset val="134"/>
      </rPr>
      <t xml:space="preserve">2 </t>
    </r>
    <r>
      <rPr>
        <sz val="12"/>
        <color theme="1"/>
        <rFont val="Calibri"/>
        <charset val="134"/>
      </rPr>
      <t>:</t>
    </r>
  </si>
  <si>
    <r>
      <rPr>
        <sz val="12"/>
        <color theme="1"/>
        <rFont val="Calibri"/>
        <charset val="134"/>
        <scheme val="minor"/>
      </rPr>
      <t xml:space="preserve">LT </t>
    </r>
    <r>
      <rPr>
        <vertAlign val="subscript"/>
        <sz val="12"/>
        <color theme="1"/>
        <rFont val="Calibri"/>
        <charset val="134"/>
      </rPr>
      <t xml:space="preserve">1 </t>
    </r>
    <r>
      <rPr>
        <sz val="12"/>
        <color theme="1"/>
        <rFont val="Calibri"/>
        <charset val="134"/>
      </rPr>
      <t xml:space="preserve">&lt; x &lt; LT </t>
    </r>
    <r>
      <rPr>
        <vertAlign val="subscript"/>
        <sz val="12"/>
        <color theme="1"/>
        <rFont val="Calibri"/>
        <charset val="134"/>
      </rPr>
      <t xml:space="preserve">1 </t>
    </r>
    <r>
      <rPr>
        <sz val="12"/>
        <color theme="1"/>
        <rFont val="Calibri"/>
        <charset val="134"/>
      </rPr>
      <t xml:space="preserve">+ ((LT </t>
    </r>
    <r>
      <rPr>
        <vertAlign val="subscript"/>
        <sz val="12"/>
        <color theme="1"/>
        <rFont val="Calibri"/>
        <charset val="134"/>
      </rPr>
      <t xml:space="preserve">2 </t>
    </r>
    <r>
      <rPr>
        <sz val="12"/>
        <color theme="1"/>
        <rFont val="Calibri"/>
        <charset val="134"/>
      </rPr>
      <t xml:space="preserve">- LT </t>
    </r>
    <r>
      <rPr>
        <vertAlign val="subscript"/>
        <sz val="12"/>
        <color theme="1"/>
        <rFont val="Calibri"/>
        <charset val="134"/>
      </rPr>
      <t xml:space="preserve">1 </t>
    </r>
    <r>
      <rPr>
        <sz val="12"/>
        <color theme="1"/>
        <rFont val="Calibri"/>
        <charset val="134"/>
      </rPr>
      <t>)/2)</t>
    </r>
  </si>
  <si>
    <r>
      <rPr>
        <sz val="12"/>
        <color theme="1"/>
        <rFont val="Calibri"/>
        <charset val="134"/>
        <scheme val="minor"/>
      </rPr>
      <t xml:space="preserve">z </t>
    </r>
    <r>
      <rPr>
        <vertAlign val="subscript"/>
        <sz val="12"/>
        <color theme="1"/>
        <rFont val="Calibri"/>
        <charset val="134"/>
      </rPr>
      <t xml:space="preserve">3 </t>
    </r>
    <r>
      <rPr>
        <sz val="12"/>
        <color theme="1"/>
        <rFont val="Calibri"/>
        <charset val="134"/>
      </rPr>
      <t>:</t>
    </r>
  </si>
  <si>
    <r>
      <rPr>
        <sz val="12"/>
        <color theme="1"/>
        <rFont val="Calibri"/>
        <charset val="134"/>
        <scheme val="minor"/>
      </rPr>
      <t xml:space="preserve">LT </t>
    </r>
    <r>
      <rPr>
        <vertAlign val="subscript"/>
        <sz val="12"/>
        <color theme="1"/>
        <rFont val="Calibri"/>
        <charset val="134"/>
      </rPr>
      <t xml:space="preserve">2 </t>
    </r>
    <r>
      <rPr>
        <sz val="12"/>
        <color theme="1"/>
        <rFont val="Calibri"/>
        <charset val="134"/>
      </rPr>
      <t xml:space="preserve">- ((LT </t>
    </r>
    <r>
      <rPr>
        <vertAlign val="subscript"/>
        <sz val="12"/>
        <color theme="1"/>
        <rFont val="Calibri"/>
        <charset val="134"/>
      </rPr>
      <t xml:space="preserve">2 </t>
    </r>
    <r>
      <rPr>
        <sz val="12"/>
        <color theme="1"/>
        <rFont val="Calibri"/>
        <charset val="134"/>
      </rPr>
      <t xml:space="preserve">- LT </t>
    </r>
    <r>
      <rPr>
        <vertAlign val="subscript"/>
        <sz val="12"/>
        <color theme="1"/>
        <rFont val="Calibri"/>
        <charset val="134"/>
      </rPr>
      <t xml:space="preserve">1 </t>
    </r>
    <r>
      <rPr>
        <sz val="12"/>
        <color theme="1"/>
        <rFont val="Calibri"/>
        <charset val="134"/>
      </rPr>
      <t xml:space="preserve">)/2) &lt; x &lt; LT </t>
    </r>
    <r>
      <rPr>
        <vertAlign val="subscript"/>
        <sz val="12"/>
        <color theme="1"/>
        <rFont val="Calibri"/>
        <charset val="134"/>
      </rPr>
      <t>2</t>
    </r>
  </si>
  <si>
    <r>
      <rPr>
        <sz val="12"/>
        <color theme="1"/>
        <rFont val="Calibri"/>
        <charset val="134"/>
        <scheme val="minor"/>
      </rPr>
      <t xml:space="preserve">z </t>
    </r>
    <r>
      <rPr>
        <vertAlign val="subscript"/>
        <sz val="12"/>
        <color theme="1"/>
        <rFont val="Calibri"/>
        <charset val="134"/>
      </rPr>
      <t xml:space="preserve">4 </t>
    </r>
    <r>
      <rPr>
        <sz val="12"/>
        <color theme="1"/>
        <rFont val="Calibri"/>
        <charset val="134"/>
      </rPr>
      <t>:</t>
    </r>
  </si>
  <si>
    <r>
      <rPr>
        <sz val="12"/>
        <color theme="1"/>
        <rFont val="Calibri"/>
        <charset val="134"/>
        <scheme val="minor"/>
      </rPr>
      <t xml:space="preserve">LT </t>
    </r>
    <r>
      <rPr>
        <vertAlign val="subscript"/>
        <sz val="12"/>
        <color theme="1"/>
        <rFont val="Calibri"/>
        <charset val="134"/>
      </rPr>
      <t xml:space="preserve">2 </t>
    </r>
    <r>
      <rPr>
        <sz val="12"/>
        <color theme="1"/>
        <rFont val="Calibri"/>
        <charset val="134"/>
      </rPr>
      <t xml:space="preserve">- 3 &lt; x &lt; LT </t>
    </r>
    <r>
      <rPr>
        <vertAlign val="subscript"/>
        <sz val="12"/>
        <color theme="1"/>
        <rFont val="Calibri"/>
        <charset val="134"/>
      </rPr>
      <t xml:space="preserve">2 </t>
    </r>
    <r>
      <rPr>
        <sz val="12"/>
        <color theme="1"/>
        <rFont val="Calibri"/>
        <charset val="134"/>
      </rPr>
      <t>+ 3</t>
    </r>
  </si>
  <si>
    <r>
      <rPr>
        <sz val="12"/>
        <color theme="1"/>
        <rFont val="Calibri"/>
        <charset val="134"/>
        <scheme val="minor"/>
      </rPr>
      <t xml:space="preserve">z </t>
    </r>
    <r>
      <rPr>
        <vertAlign val="subscript"/>
        <sz val="12"/>
        <color theme="1"/>
        <rFont val="Calibri"/>
        <charset val="134"/>
      </rPr>
      <t xml:space="preserve">5 </t>
    </r>
    <r>
      <rPr>
        <sz val="12"/>
        <color theme="1"/>
        <rFont val="Calibri"/>
        <charset val="134"/>
      </rPr>
      <t>:</t>
    </r>
  </si>
  <si>
    <r>
      <rPr>
        <sz val="12"/>
        <color theme="1"/>
        <rFont val="Calibri"/>
        <charset val="134"/>
        <scheme val="minor"/>
      </rPr>
      <t xml:space="preserve">x &gt; LT </t>
    </r>
    <r>
      <rPr>
        <vertAlign val="subscript"/>
        <sz val="12"/>
        <color theme="1"/>
        <rFont val="Calibri"/>
        <charset val="134"/>
      </rPr>
      <t xml:space="preserve">2 </t>
    </r>
    <r>
      <rPr>
        <sz val="12"/>
        <color theme="1"/>
        <rFont val="Calibri"/>
        <charset val="134"/>
      </rPr>
      <t>+ 4</t>
    </r>
  </si>
  <si>
    <t>W MAX</t>
  </si>
  <si>
    <t>W UANA</t>
  </si>
  <si>
    <t>Método AIS/VCP</t>
  </si>
  <si>
    <t>W UAE</t>
  </si>
  <si>
    <t>FC MAX</t>
  </si>
  <si>
    <t>FC UANA</t>
  </si>
  <si>
    <r>
      <rPr>
        <sz val="12"/>
        <color theme="1"/>
        <rFont val="Calibri"/>
        <charset val="134"/>
        <scheme val="minor"/>
      </rPr>
      <t xml:space="preserve">x &lt; 80% LT </t>
    </r>
    <r>
      <rPr>
        <vertAlign val="subscript"/>
        <sz val="12"/>
        <color theme="1"/>
        <rFont val="Calibri"/>
        <charset val="134"/>
      </rPr>
      <t>2</t>
    </r>
  </si>
  <si>
    <t>FC UAE</t>
  </si>
  <si>
    <r>
      <rPr>
        <sz val="12"/>
        <color theme="1"/>
        <rFont val="Calibri"/>
        <charset val="134"/>
        <scheme val="minor"/>
      </rPr>
      <t xml:space="preserve">81% LT </t>
    </r>
    <r>
      <rPr>
        <vertAlign val="subscript"/>
        <sz val="12"/>
        <color theme="1"/>
        <rFont val="Calibri"/>
        <charset val="134"/>
      </rPr>
      <t xml:space="preserve">2 </t>
    </r>
    <r>
      <rPr>
        <sz val="12"/>
        <color theme="1"/>
        <rFont val="Calibri"/>
        <charset val="134"/>
      </rPr>
      <t xml:space="preserve">&lt; x &lt; 85% LT </t>
    </r>
    <r>
      <rPr>
        <vertAlign val="subscript"/>
        <sz val="12"/>
        <color theme="1"/>
        <rFont val="Calibri"/>
        <charset val="134"/>
      </rPr>
      <t>2</t>
    </r>
  </si>
  <si>
    <r>
      <rPr>
        <sz val="12"/>
        <color theme="1"/>
        <rFont val="Calibri"/>
        <charset val="134"/>
        <scheme val="minor"/>
      </rPr>
      <t xml:space="preserve">86% LT </t>
    </r>
    <r>
      <rPr>
        <vertAlign val="subscript"/>
        <sz val="12"/>
        <color theme="1"/>
        <rFont val="Calibri"/>
        <charset val="134"/>
      </rPr>
      <t xml:space="preserve">2 </t>
    </r>
    <r>
      <rPr>
        <sz val="12"/>
        <color theme="1"/>
        <rFont val="Calibri"/>
        <charset val="134"/>
      </rPr>
      <t xml:space="preserve">&lt; x &lt; 95% LT </t>
    </r>
    <r>
      <rPr>
        <vertAlign val="subscript"/>
        <sz val="12"/>
        <color theme="1"/>
        <rFont val="Calibri"/>
        <charset val="134"/>
      </rPr>
      <t>2</t>
    </r>
  </si>
  <si>
    <r>
      <rPr>
        <sz val="12"/>
        <color theme="1"/>
        <rFont val="Calibri"/>
        <charset val="134"/>
        <scheme val="minor"/>
      </rPr>
      <t xml:space="preserve">96% LT </t>
    </r>
    <r>
      <rPr>
        <vertAlign val="subscript"/>
        <sz val="12"/>
        <color theme="1"/>
        <rFont val="Calibri"/>
        <charset val="134"/>
      </rPr>
      <t xml:space="preserve">2 </t>
    </r>
    <r>
      <rPr>
        <sz val="12"/>
        <color theme="1"/>
        <rFont val="Calibri"/>
        <charset val="134"/>
      </rPr>
      <t xml:space="preserve">&lt; x &lt; 102% LT </t>
    </r>
    <r>
      <rPr>
        <vertAlign val="subscript"/>
        <sz val="12"/>
        <color theme="1"/>
        <rFont val="Calibri"/>
        <charset val="134"/>
      </rPr>
      <t>2</t>
    </r>
  </si>
  <si>
    <r>
      <rPr>
        <sz val="12"/>
        <color theme="1"/>
        <rFont val="Calibri"/>
        <charset val="134"/>
        <scheme val="minor"/>
      </rPr>
      <t xml:space="preserve">x &gt; 103% LT </t>
    </r>
    <r>
      <rPr>
        <vertAlign val="subscript"/>
        <sz val="12"/>
        <color theme="1"/>
        <rFont val="Calibri"/>
        <charset val="134"/>
      </rPr>
      <t>2</t>
    </r>
  </si>
  <si>
    <t>R0</t>
  </si>
  <si>
    <t>Método Coggan</t>
  </si>
  <si>
    <t>R1</t>
  </si>
  <si>
    <t xml:space="preserve">J. Newell, D. Higgins, N. Madden, J. Cruikshank, J. Einbeck, K. McMillan y R. McDonald. Software para el cálculo de marcadores de resistencia del lactato sanguíneo . Journal of Sports Sciences , 25:12 (2007), págs. 1403-1409. </t>
  </si>
  <si>
    <r>
      <rPr>
        <sz val="12"/>
        <color theme="1"/>
        <rFont val="Calibri"/>
        <charset val="134"/>
        <scheme val="minor"/>
      </rPr>
      <t xml:space="preserve">LT </t>
    </r>
    <r>
      <rPr>
        <vertAlign val="subscript"/>
        <sz val="12"/>
        <color theme="1"/>
        <rFont val="Calibri"/>
        <charset val="134"/>
      </rPr>
      <t xml:space="preserve">1 </t>
    </r>
    <r>
      <rPr>
        <sz val="12"/>
        <color theme="1"/>
        <rFont val="Calibri"/>
        <charset val="134"/>
      </rPr>
      <t>= Frecuencia cardíaca equivalente a un aumento de 1 mmol en el lactato por encima del valor basal.</t>
    </r>
  </si>
  <si>
    <t>R2</t>
  </si>
  <si>
    <r>
      <rPr>
        <sz val="12"/>
        <color theme="1"/>
        <rFont val="Calibri"/>
        <charset val="134"/>
        <scheme val="minor"/>
      </rPr>
      <t xml:space="preserve">x &lt; 68% LT </t>
    </r>
    <r>
      <rPr>
        <vertAlign val="subscript"/>
        <sz val="12"/>
        <color theme="1"/>
        <rFont val="Calibri"/>
        <charset val="134"/>
      </rPr>
      <t>1</t>
    </r>
  </si>
  <si>
    <t>R3</t>
  </si>
  <si>
    <r>
      <rPr>
        <sz val="12"/>
        <color theme="1"/>
        <rFont val="Calibri"/>
        <charset val="134"/>
        <scheme val="minor"/>
      </rPr>
      <t xml:space="preserve">69% LT </t>
    </r>
    <r>
      <rPr>
        <vertAlign val="subscript"/>
        <sz val="12"/>
        <color theme="1"/>
        <rFont val="Calibri"/>
        <charset val="134"/>
      </rPr>
      <t xml:space="preserve">1 </t>
    </r>
    <r>
      <rPr>
        <sz val="12"/>
        <color theme="1"/>
        <rFont val="Calibri"/>
        <charset val="134"/>
      </rPr>
      <t xml:space="preserve">&lt; x &lt; 83% LT </t>
    </r>
    <r>
      <rPr>
        <vertAlign val="subscript"/>
        <sz val="12"/>
        <color theme="1"/>
        <rFont val="Calibri"/>
        <charset val="134"/>
      </rPr>
      <t>1</t>
    </r>
  </si>
  <si>
    <r>
      <rPr>
        <sz val="12"/>
        <color theme="1"/>
        <rFont val="Calibri"/>
        <charset val="134"/>
        <scheme val="minor"/>
      </rPr>
      <t xml:space="preserve">84% LT </t>
    </r>
    <r>
      <rPr>
        <vertAlign val="subscript"/>
        <sz val="12"/>
        <color theme="1"/>
        <rFont val="Calibri"/>
        <charset val="134"/>
      </rPr>
      <t xml:space="preserve">1 </t>
    </r>
    <r>
      <rPr>
        <sz val="12"/>
        <color theme="1"/>
        <rFont val="Calibri"/>
        <charset val="134"/>
      </rPr>
      <t xml:space="preserve">&lt; x &lt; 94% LT </t>
    </r>
    <r>
      <rPr>
        <vertAlign val="subscript"/>
        <sz val="12"/>
        <color theme="1"/>
        <rFont val="Calibri"/>
        <charset val="134"/>
      </rPr>
      <t>1</t>
    </r>
  </si>
  <si>
    <t>R3+</t>
  </si>
  <si>
    <r>
      <rPr>
        <sz val="12"/>
        <color theme="1"/>
        <rFont val="Calibri"/>
        <charset val="134"/>
        <scheme val="minor"/>
      </rPr>
      <t xml:space="preserve">95% LT </t>
    </r>
    <r>
      <rPr>
        <vertAlign val="subscript"/>
        <sz val="12"/>
        <color theme="1"/>
        <rFont val="Calibri"/>
        <charset val="134"/>
      </rPr>
      <t xml:space="preserve">1 </t>
    </r>
    <r>
      <rPr>
        <sz val="12"/>
        <color theme="1"/>
        <rFont val="Calibri"/>
        <charset val="134"/>
      </rPr>
      <t xml:space="preserve">&lt; x &lt; 105% LT </t>
    </r>
    <r>
      <rPr>
        <vertAlign val="subscript"/>
        <sz val="12"/>
        <color theme="1"/>
        <rFont val="Calibri"/>
        <charset val="134"/>
      </rPr>
      <t>1</t>
    </r>
  </si>
  <si>
    <r>
      <rPr>
        <sz val="12"/>
        <color theme="1"/>
        <rFont val="Calibri"/>
        <charset val="134"/>
        <scheme val="minor"/>
      </rPr>
      <t xml:space="preserve">x &gt; 106% LT </t>
    </r>
    <r>
      <rPr>
        <vertAlign val="subscript"/>
        <sz val="12"/>
        <color theme="1"/>
        <rFont val="Calibri"/>
        <charset val="134"/>
      </rPr>
      <t>1</t>
    </r>
  </si>
  <si>
    <t>SISTEMA DE ANÁLISIS DE LACTATO Y PROGRAMACIÓN DE ZONAS DINÁMICAS</t>
  </si>
  <si>
    <t>Coeficiente a</t>
  </si>
  <si>
    <t>Deportista:</t>
  </si>
  <si>
    <t>Deportista de Ejemplo</t>
  </si>
  <si>
    <t>Coeficiente b</t>
  </si>
  <si>
    <t>Deporte:</t>
  </si>
  <si>
    <t>CARRERA</t>
  </si>
  <si>
    <t>Coeficiente c</t>
  </si>
  <si>
    <t>Lactato Basal (mmol/L):</t>
  </si>
  <si>
    <t>Autor:</t>
  </si>
  <si>
    <t>PALLARÉS/CEREZUELA</t>
  </si>
  <si>
    <t>Pendiente</t>
  </si>
  <si>
    <r>
      <rPr>
        <i/>
        <sz val="9"/>
        <color rgb="FFFF0000"/>
        <rFont val="Segoe UI"/>
        <charset val="134"/>
      </rPr>
      <t>Modificar</t>
    </r>
    <r>
      <rPr>
        <i/>
        <sz val="9"/>
        <color rgb="FF6B7280"/>
        <rFont val="Segoe UI"/>
        <charset val="134"/>
      </rPr>
      <t xml:space="preserve"> los lactatos de formulas ajustando a la gráfica de datos para cada HITO</t>
    </r>
  </si>
  <si>
    <t>COGGAN</t>
  </si>
  <si>
    <t>DATOS REALES DEL TEST INCREMENTAL</t>
  </si>
  <si>
    <t>CÁLCULO AUTOMÁTICO DE HITOS METABÓLICOS</t>
  </si>
  <si>
    <t>NEWELL ET AL (2007)</t>
  </si>
  <si>
    <t>Potencia (W o km/h) / Vel</t>
  </si>
  <si>
    <t>Lactato (mmol/L)</t>
  </si>
  <si>
    <t>D2LMax</t>
  </si>
  <si>
    <t>Metodología / Hito</t>
  </si>
  <si>
    <t>Criterio Lactato</t>
  </si>
  <si>
    <t>Potencia / Vel Calculada</t>
  </si>
  <si>
    <t>FC (ppm) Calculada</t>
  </si>
  <si>
    <t>AIS ADAPTACIÓN</t>
  </si>
  <si>
    <t>LT1 AIS/Adaptación</t>
  </si>
  <si>
    <t>FC equivalente a LT+0,4 mmol/L</t>
  </si>
  <si>
    <t>SAN MILLÁN</t>
  </si>
  <si>
    <t>LT2 AIS/VCP</t>
  </si>
  <si>
    <t>FC equivalente a DMAX modificado</t>
  </si>
  <si>
    <t>AIS VCP</t>
  </si>
  <si>
    <t>LT1 (Pallarés / Cerezuela)</t>
  </si>
  <si>
    <t>LT + 0.5 (Bici) / + 1.0 (Carrera)</t>
  </si>
  <si>
    <t>L1 - Newell et al. (2007)</t>
  </si>
  <si>
    <t>1.5 mmol/L Fijo</t>
  </si>
  <si>
    <t>CICLISMO</t>
  </si>
  <si>
    <t>L2 - Newell et al. (2007)</t>
  </si>
  <si>
    <t>2.0 mmol/L Fijo</t>
  </si>
  <si>
    <t>L3 - Newell et al. (2007)</t>
  </si>
  <si>
    <t>2.5 mmol/L Fijo</t>
  </si>
  <si>
    <t>L4 - Newell et al. (2007)</t>
  </si>
  <si>
    <t>3.5 mmol/L Fijo</t>
  </si>
  <si>
    <t>L5 - Newell et al. (2007)</t>
  </si>
  <si>
    <t>5.0 mmol/L Fijo</t>
  </si>
  <si>
    <t>LT2 (Hecket al., 1985)</t>
  </si>
  <si>
    <t>usa el base a 3,8 mmol/L</t>
  </si>
  <si>
    <t>LT2 (Cheng et al., 1992)</t>
  </si>
  <si>
    <t>Método DMAX modificado</t>
  </si>
  <si>
    <t>LT2 (Pallarés / Cerezuela)</t>
  </si>
  <si>
    <t>LT + 2.0 (Bici) / +3.0 (Carrera)</t>
  </si>
  <si>
    <t>ZONAS DE ENTRENAMIENTO AUTOMÁTICAS</t>
  </si>
  <si>
    <t>Zona de Entrenamiento</t>
  </si>
  <si>
    <t>Rango Lactato</t>
  </si>
  <si>
    <t>Potencia Mín</t>
  </si>
  <si>
    <t>Potencia Máx</t>
  </si>
  <si>
    <t>FC Mín (ppm)</t>
  </si>
  <si>
    <t>FC Máx (ppm)</t>
  </si>
  <si>
    <t>&lt; 2.0 mmol/L</t>
  </si>
  <si>
    <t>2.0 - 2.5 mmol/L</t>
  </si>
  <si>
    <t>2.5 - 3.5 mmol/L</t>
  </si>
  <si>
    <t>3.5 - 5.0 mmol/L</t>
  </si>
  <si>
    <t>&gt; 5.0 mmol/L</t>
  </si>
  <si>
    <t>-</t>
  </si>
  <si>
    <t>SEGUIMIENTO HITOS</t>
  </si>
  <si>
    <t>Fecha/Mes</t>
  </si>
  <si>
    <t>LT1 Pulso</t>
  </si>
  <si>
    <t>LT2 Pulso</t>
  </si>
  <si>
    <t>LT1 W</t>
  </si>
  <si>
    <t>LT2 w</t>
  </si>
  <si>
    <t>Fecha:</t>
  </si>
  <si>
    <t>FTP (w):</t>
  </si>
  <si>
    <t>PAM (w):</t>
  </si>
  <si>
    <t>Palier</t>
  </si>
  <si>
    <t>Potencia (w)</t>
  </si>
  <si>
    <t>w/kg</t>
  </si>
  <si>
    <t>Factor Grado</t>
  </si>
  <si>
    <t>Lactato (mmol)</t>
  </si>
  <si>
    <t>Tiempo (mm:ss)</t>
  </si>
  <si>
    <t>m+</t>
  </si>
  <si>
    <t>Pendiente media</t>
  </si>
  <si>
    <t>Distancia recorrida (m)</t>
  </si>
  <si>
    <t>Velocidad (km/)</t>
  </si>
  <si>
    <t>Segmento</t>
  </si>
  <si>
    <t>1º</t>
  </si>
  <si>
    <t>Villa Ocón</t>
  </si>
  <si>
    <t>2º</t>
  </si>
  <si>
    <t>3º</t>
  </si>
  <si>
    <t>4º</t>
  </si>
  <si>
    <t>5º</t>
  </si>
  <si>
    <t>6º</t>
  </si>
  <si>
    <t>EDITA LAS ZONAS ROJAS</t>
  </si>
  <si>
    <t>CALCULA TU TIEMPO</t>
  </si>
  <si>
    <t>Vatios (W)</t>
  </si>
  <si>
    <t>PESO (KG)</t>
  </si>
  <si>
    <t>D+</t>
  </si>
  <si>
    <t>Tiempo (h)</t>
  </si>
  <si>
    <t>TIEMPO (´)</t>
  </si>
  <si>
    <t>Tiempo</t>
  </si>
  <si>
    <t>% media</t>
  </si>
  <si>
    <t>VAM</t>
  </si>
  <si>
    <t>Factor Grado (FG)</t>
  </si>
  <si>
    <t>CALCULA TU POTENCIA</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</si>
</sst>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0_-;\-* #,##0_-;_-* &quot;-&quot;_-;_-@_-"/>
    <numFmt numFmtId="43" formatCode="_-* #,##0.00_-;\-* #,##0.00_-;_-* &quot;-&quot;??_-;_-@_-"/>
    <numFmt numFmtId="176" formatCode="_-* #,##0.00\ &quot;€&quot;_-;\-* #,##0.00\ &quot;€&quot;_-;_-* \-??\ &quot;€&quot;_-;_-@_-"/>
    <numFmt numFmtId="177" formatCode="_-* #,##0\ &quot;€&quot;_-;\-* #,##0\ &quot;€&quot;_-;_-* &quot;-&quot;\ &quot;€&quot;_-;_-@_-"/>
    <numFmt numFmtId="178" formatCode="[h]:mm:ss;@"/>
    <numFmt numFmtId="179" formatCode="0.0"/>
    <numFmt numFmtId="180" formatCode="#,##0.00_ "/>
    <numFmt numFmtId="181" formatCode="0.00_ "/>
    <numFmt numFmtId="182" formatCode="0_ "/>
  </numFmts>
  <fonts count="49">
    <font>
      <sz val="12"/>
      <color theme="1"/>
      <name val="Calibri"/>
      <charset val="134"/>
      <scheme val="minor"/>
    </font>
    <font>
      <b/>
      <sz val="12"/>
      <color theme="1"/>
      <name val="Calibri"/>
      <charset val="134"/>
      <scheme val="minor"/>
    </font>
    <font>
      <b/>
      <sz val="11"/>
      <color theme="1"/>
      <name val="Calibri"/>
      <charset val="134"/>
      <scheme val="minor"/>
    </font>
    <font>
      <b/>
      <sz val="11"/>
      <color theme="4"/>
      <name val="Calibri"/>
      <charset val="134"/>
      <scheme val="minor"/>
    </font>
    <font>
      <b/>
      <sz val="11"/>
      <color rgb="FFFF0000"/>
      <name val="Calibri"/>
      <charset val="134"/>
      <scheme val="minor"/>
    </font>
    <font>
      <b/>
      <sz val="11"/>
      <color rgb="FF7030A0"/>
      <name val="Calibri"/>
      <charset val="134"/>
      <scheme val="minor"/>
    </font>
    <font>
      <b/>
      <sz val="11"/>
      <name val="Calibri"/>
      <charset val="134"/>
      <scheme val="minor"/>
    </font>
    <font>
      <b/>
      <sz val="10"/>
      <color theme="1"/>
      <name val="Calibri"/>
      <charset val="134"/>
      <scheme val="minor"/>
    </font>
    <font>
      <b/>
      <sz val="10"/>
      <color rgb="FFFF0000"/>
      <name val="Calibri"/>
      <charset val="134"/>
      <scheme val="minor"/>
    </font>
    <font>
      <sz val="10"/>
      <color theme="1"/>
      <name val="Calibri"/>
      <charset val="134"/>
      <scheme val="minor"/>
    </font>
    <font>
      <sz val="11"/>
      <color theme="1"/>
      <name val="Calibri"/>
      <charset val="134"/>
      <scheme val="minor"/>
    </font>
    <font>
      <b/>
      <sz val="15"/>
      <color rgb="FFFFFFFF"/>
      <name val="Segoe UI"/>
      <charset val="134"/>
    </font>
    <font>
      <b/>
      <sz val="10"/>
      <color rgb="FF111827"/>
      <name val="Segoe UI"/>
      <charset val="134"/>
    </font>
    <font>
      <sz val="10"/>
      <color rgb="FF374151"/>
      <name val="Segoe UI"/>
      <charset val="134"/>
    </font>
    <font>
      <i/>
      <sz val="9"/>
      <color rgb="FFFF0000"/>
      <name val="Segoe UI"/>
      <charset val="134"/>
    </font>
    <font>
      <i/>
      <sz val="9"/>
      <color rgb="FF6B7280"/>
      <name val="Segoe UI"/>
      <charset val="134"/>
    </font>
    <font>
      <b/>
      <sz val="10"/>
      <color rgb="FFFFFFFF"/>
      <name val="Segoe UI"/>
      <charset val="134"/>
    </font>
    <font>
      <b/>
      <sz val="10"/>
      <color rgb="FFFF0000"/>
      <name val="Segoe UI"/>
      <charset val="134"/>
    </font>
    <font>
      <b/>
      <sz val="18"/>
      <color theme="1"/>
      <name val="Calibri"/>
      <charset val="134"/>
      <scheme val="minor"/>
    </font>
    <font>
      <b/>
      <sz val="16"/>
      <color rgb="FF002060"/>
      <name val="Calibri"/>
      <charset val="134"/>
      <scheme val="minor"/>
    </font>
    <font>
      <b/>
      <sz val="12"/>
      <color rgb="FFFF0000"/>
      <name val="Calibri"/>
      <charset val="134"/>
      <scheme val="minor"/>
    </font>
    <font>
      <b/>
      <i/>
      <sz val="10"/>
      <color theme="1"/>
      <name val="Calibri"/>
      <charset val="134"/>
      <scheme val="minor"/>
    </font>
    <font>
      <b/>
      <sz val="9"/>
      <color theme="1"/>
      <name val="Calibri"/>
      <charset val="134"/>
      <scheme val="minor"/>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vertAlign val="subscript"/>
      <sz val="12"/>
      <color theme="1"/>
      <name val="Calibri"/>
      <charset val="134"/>
    </font>
    <font>
      <sz val="12"/>
      <color theme="1"/>
      <name val="Calibri"/>
      <charset val="134"/>
    </font>
    <font>
      <sz val="11"/>
      <color rgb="FF00B050"/>
      <name val="Calibri"/>
      <charset val="134"/>
      <scheme val="minor"/>
    </font>
    <font>
      <sz val="11"/>
      <color theme="4"/>
      <name val="Calibri"/>
      <charset val="134"/>
      <scheme val="minor"/>
    </font>
    <font>
      <b/>
      <sz val="9"/>
      <name val="Tahoma"/>
      <charset val="134"/>
    </font>
    <font>
      <sz val="9"/>
      <name val="Times New Roman"/>
      <charset val="0"/>
    </font>
    <font>
      <b/>
      <sz val="9"/>
      <name val="Times New Roman"/>
      <charset val="0"/>
    </font>
  </fonts>
  <fills count="68">
    <fill>
      <patternFill patternType="none"/>
    </fill>
    <fill>
      <patternFill patternType="gray125"/>
    </fill>
    <fill>
      <patternFill patternType="solid">
        <fgColor theme="5" tint="0.799981688894314"/>
        <bgColor indexed="64"/>
      </patternFill>
    </fill>
    <fill>
      <patternFill patternType="solid">
        <fgColor rgb="FFFFFF00"/>
        <bgColor indexed="64"/>
      </patternFill>
    </fill>
    <fill>
      <patternFill patternType="solid">
        <fgColor theme="7"/>
        <bgColor indexed="64"/>
      </patternFill>
    </fill>
    <fill>
      <patternFill patternType="solid">
        <fgColor theme="9"/>
        <bgColor indexed="64"/>
      </patternFill>
    </fill>
    <fill>
      <patternFill patternType="solid">
        <fgColor rgb="FFFF0000"/>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rgb="FFFFE7A3"/>
        <bgColor indexed="64"/>
      </patternFill>
    </fill>
    <fill>
      <patternFill patternType="solid">
        <fgColor rgb="FF1F2937"/>
        <bgColor rgb="FF1F2937"/>
      </patternFill>
    </fill>
    <fill>
      <patternFill patternType="solid">
        <fgColor rgb="FF4B5563"/>
        <bgColor rgb="FF4B5563"/>
      </patternFill>
    </fill>
    <fill>
      <patternFill patternType="solid">
        <fgColor rgb="FFF9FAFB"/>
        <bgColor rgb="FFF9FAFB"/>
      </patternFill>
    </fill>
    <fill>
      <patternFill patternType="solid">
        <fgColor theme="8" tint="0.8"/>
        <bgColor indexed="64"/>
      </patternFill>
    </fill>
    <fill>
      <patternFill patternType="solid">
        <fgColor theme="8" tint="0.8"/>
        <bgColor rgb="FFF0F4F8"/>
      </patternFill>
    </fill>
    <fill>
      <patternFill patternType="solid">
        <fgColor theme="8" tint="0.6"/>
        <bgColor indexed="64"/>
      </patternFill>
    </fill>
    <fill>
      <patternFill patternType="solid">
        <fgColor theme="6" tint="0.8"/>
        <bgColor indexed="64"/>
      </patternFill>
    </fill>
    <fill>
      <patternFill patternType="solid">
        <fgColor rgb="FFF0F4F8"/>
        <bgColor rgb="FFF0F4F8"/>
      </patternFill>
    </fill>
    <fill>
      <patternFill patternType="solid">
        <fgColor theme="5" tint="0.8"/>
        <bgColor indexed="64"/>
      </patternFill>
    </fill>
    <fill>
      <patternFill patternType="solid">
        <fgColor theme="5" tint="0.8"/>
        <bgColor rgb="FFF0F4F8"/>
      </patternFill>
    </fill>
    <fill>
      <patternFill patternType="solid">
        <fgColor theme="5" tint="0.6"/>
        <bgColor indexed="64"/>
      </patternFill>
    </fill>
    <fill>
      <patternFill patternType="solid">
        <fgColor theme="5" tint="0.6"/>
        <bgColor rgb="FFF0F4F8"/>
      </patternFill>
    </fill>
    <fill>
      <patternFill patternType="solid">
        <fgColor theme="0" tint="-0.05"/>
        <bgColor rgb="FFF3F4F6"/>
      </patternFill>
    </fill>
    <fill>
      <patternFill patternType="solid">
        <fgColor theme="0" tint="-0.05"/>
        <bgColor indexed="64"/>
      </patternFill>
    </fill>
    <fill>
      <patternFill patternType="solid">
        <fgColor theme="4" tint="0.8"/>
        <bgColor rgb="FFE0F2FE"/>
      </patternFill>
    </fill>
    <fill>
      <patternFill patternType="solid">
        <fgColor theme="4" tint="0.8"/>
        <bgColor indexed="64"/>
      </patternFill>
    </fill>
    <fill>
      <patternFill patternType="solid">
        <fgColor theme="7" tint="0.8"/>
        <bgColor rgb="FFFEF3C7"/>
      </patternFill>
    </fill>
    <fill>
      <patternFill patternType="solid">
        <fgColor theme="7" tint="0.8"/>
        <bgColor indexed="64"/>
      </patternFill>
    </fill>
    <fill>
      <patternFill patternType="solid">
        <fgColor theme="5" tint="0.8"/>
        <bgColor rgb="FFFFEDD5"/>
      </patternFill>
    </fill>
    <fill>
      <patternFill patternType="solid">
        <fgColor rgb="FFFFD9D9"/>
        <bgColor rgb="FFFEE2E2"/>
      </patternFill>
    </fill>
    <fill>
      <patternFill patternType="solid">
        <fgColor rgb="FFFFD9D9"/>
        <bgColor indexed="64"/>
      </patternFill>
    </fill>
    <fill>
      <patternFill patternType="solid">
        <fgColor theme="4" tint="0.6"/>
        <bgColor indexed="64"/>
      </patternFill>
    </fill>
    <fill>
      <patternFill patternType="solid">
        <fgColor theme="0" tint="-0.15"/>
        <bgColor indexed="64"/>
      </patternFill>
    </fill>
    <fill>
      <patternFill patternType="solid">
        <fgColor theme="0"/>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theme="5" tint="-0.249977111117893"/>
        <bgColor indexed="64"/>
      </patternFill>
    </fill>
    <fill>
      <patternFill patternType="solid">
        <fgColor theme="5" tint="-0.499984740745262"/>
        <bgColor indexed="64"/>
      </patternFill>
    </fill>
    <fill>
      <patternFill patternType="solid">
        <fgColor theme="3" tint="0.399975585192419"/>
        <bgColor indexed="64"/>
      </patternFill>
    </fill>
    <fill>
      <patternFill patternType="solid">
        <fgColor rgb="FFA7FFFF"/>
        <bgColor indexed="64"/>
      </patternFill>
    </fill>
    <fill>
      <patternFill patternType="solid">
        <fgColor rgb="FFC59EE2"/>
        <bgColor indexed="64"/>
      </patternFill>
    </fill>
    <fill>
      <patternFill patternType="solid">
        <fgColor rgb="FFFFB7BA"/>
        <bgColor indexed="64"/>
      </patternFill>
    </fill>
    <fill>
      <patternFill patternType="solid">
        <fgColor theme="3" tint="0.599993896298105"/>
        <bgColor indexed="64"/>
      </patternFill>
    </fill>
    <fill>
      <patternFill patternType="solid">
        <fgColor theme="4" tint="0.599993896298105"/>
        <bgColor indexed="64"/>
      </patternFill>
    </fill>
    <fill>
      <patternFill patternType="solid">
        <fgColor theme="2" tint="-0.249977111117893"/>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s>
  <borders count="27">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rgb="FFE5E7EB"/>
      </left>
      <right/>
      <top style="thin">
        <color rgb="FFE5E7EB"/>
      </top>
      <bottom style="thin">
        <color rgb="FFE5E7EB"/>
      </bottom>
      <diagonal/>
    </border>
    <border>
      <left/>
      <right/>
      <top style="thin">
        <color rgb="FFE5E7EB"/>
      </top>
      <bottom style="thin">
        <color rgb="FFE5E7EB"/>
      </bottom>
      <diagonal/>
    </border>
    <border>
      <left/>
      <right style="thin">
        <color rgb="FFE5E7EB"/>
      </right>
      <top style="thin">
        <color rgb="FFE5E7EB"/>
      </top>
      <bottom style="thin">
        <color rgb="FFE5E7EB"/>
      </bottom>
      <diagonal/>
    </border>
    <border>
      <left style="thin">
        <color rgb="FFE5E7EB"/>
      </left>
      <right style="thin">
        <color rgb="FFE5E7EB"/>
      </right>
      <top style="thin">
        <color rgb="FFE5E7EB"/>
      </top>
      <bottom style="thin">
        <color rgb="FFE5E7EB"/>
      </bottom>
      <diagonal/>
    </border>
    <border>
      <left/>
      <right/>
      <top style="thin">
        <color auto="1"/>
      </top>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3" fontId="10" fillId="0" borderId="0" applyFont="0" applyFill="0" applyBorder="0" applyAlignment="0" applyProtection="0">
      <alignment vertical="center"/>
    </xf>
    <xf numFmtId="176" fontId="10" fillId="0" borderId="0" applyFont="0" applyFill="0" applyBorder="0" applyAlignment="0" applyProtection="0">
      <alignment vertical="center"/>
    </xf>
    <xf numFmtId="9" fontId="10" fillId="0" borderId="0" applyFont="0" applyFill="0" applyBorder="0" applyAlignment="0" applyProtection="0">
      <alignment vertical="center"/>
    </xf>
    <xf numFmtId="41" fontId="10" fillId="0" borderId="0" applyFont="0" applyFill="0" applyBorder="0" applyAlignment="0" applyProtection="0">
      <alignment vertical="center"/>
    </xf>
    <xf numFmtId="177" fontId="10" fillId="0" borderId="0" applyFon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51" borderId="19" applyNumberFormat="0" applyFon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20" applyNumberFormat="0" applyFill="0" applyAlignment="0" applyProtection="0">
      <alignment vertical="center"/>
    </xf>
    <xf numFmtId="0" fontId="29" fillId="0" borderId="20" applyNumberFormat="0" applyFill="0" applyAlignment="0" applyProtection="0">
      <alignment vertical="center"/>
    </xf>
    <xf numFmtId="0" fontId="30" fillId="0" borderId="21" applyNumberFormat="0" applyFill="0" applyAlignment="0" applyProtection="0">
      <alignment vertical="center"/>
    </xf>
    <xf numFmtId="0" fontId="30" fillId="0" borderId="0" applyNumberFormat="0" applyFill="0" applyBorder="0" applyAlignment="0" applyProtection="0">
      <alignment vertical="center"/>
    </xf>
    <xf numFmtId="0" fontId="31" fillId="52" borderId="22" applyNumberFormat="0" applyAlignment="0" applyProtection="0">
      <alignment vertical="center"/>
    </xf>
    <xf numFmtId="0" fontId="32" fillId="53" borderId="23" applyNumberFormat="0" applyAlignment="0" applyProtection="0">
      <alignment vertical="center"/>
    </xf>
    <xf numFmtId="0" fontId="33" fillId="53" borderId="22" applyNumberFormat="0" applyAlignment="0" applyProtection="0">
      <alignment vertical="center"/>
    </xf>
    <xf numFmtId="0" fontId="34" fillId="54" borderId="24" applyNumberFormat="0" applyAlignment="0" applyProtection="0">
      <alignment vertical="center"/>
    </xf>
    <xf numFmtId="0" fontId="35" fillId="0" borderId="25" applyNumberFormat="0" applyFill="0" applyAlignment="0" applyProtection="0">
      <alignment vertical="center"/>
    </xf>
    <xf numFmtId="0" fontId="36" fillId="0" borderId="26" applyNumberFormat="0" applyFill="0" applyAlignment="0" applyProtection="0">
      <alignment vertical="center"/>
    </xf>
    <xf numFmtId="0" fontId="37" fillId="55" borderId="0" applyNumberFormat="0" applyBorder="0" applyAlignment="0" applyProtection="0">
      <alignment vertical="center"/>
    </xf>
    <xf numFmtId="0" fontId="38" fillId="56" borderId="0" applyNumberFormat="0" applyBorder="0" applyAlignment="0" applyProtection="0">
      <alignment vertical="center"/>
    </xf>
    <xf numFmtId="0" fontId="39" fillId="57" borderId="0" applyNumberFormat="0" applyBorder="0" applyAlignment="0" applyProtection="0">
      <alignment vertical="center"/>
    </xf>
    <xf numFmtId="0" fontId="40" fillId="58" borderId="0" applyNumberFormat="0" applyBorder="0" applyAlignment="0" applyProtection="0">
      <alignment vertical="center"/>
    </xf>
    <xf numFmtId="0" fontId="41" fillId="59" borderId="0" applyNumberFormat="0" applyBorder="0" applyAlignment="0" applyProtection="0">
      <alignment vertical="center"/>
    </xf>
    <xf numFmtId="0" fontId="41" fillId="49" borderId="0" applyNumberFormat="0" applyBorder="0" applyAlignment="0" applyProtection="0">
      <alignment vertical="center"/>
    </xf>
    <xf numFmtId="0" fontId="40" fillId="60" borderId="0" applyNumberFormat="0" applyBorder="0" applyAlignment="0" applyProtection="0">
      <alignment vertical="center"/>
    </xf>
    <xf numFmtId="0" fontId="40" fillId="61" borderId="0" applyNumberFormat="0" applyBorder="0" applyAlignment="0" applyProtection="0">
      <alignment vertical="center"/>
    </xf>
    <xf numFmtId="0" fontId="41" fillId="2" borderId="0" applyNumberFormat="0" applyBorder="0" applyAlignment="0" applyProtection="0">
      <alignment vertical="center"/>
    </xf>
    <xf numFmtId="0" fontId="41" fillId="41" borderId="0" applyNumberFormat="0" applyBorder="0" applyAlignment="0" applyProtection="0">
      <alignment vertical="center"/>
    </xf>
    <xf numFmtId="0" fontId="40" fillId="7" borderId="0" applyNumberFormat="0" applyBorder="0" applyAlignment="0" applyProtection="0">
      <alignment vertical="center"/>
    </xf>
    <xf numFmtId="0" fontId="40" fillId="62" borderId="0" applyNumberFormat="0" applyBorder="0" applyAlignment="0" applyProtection="0">
      <alignment vertical="center"/>
    </xf>
    <xf numFmtId="0" fontId="41" fillId="63" borderId="0" applyNumberFormat="0" applyBorder="0" applyAlignment="0" applyProtection="0">
      <alignment vertical="center"/>
    </xf>
    <xf numFmtId="0" fontId="41" fillId="8" borderId="0" applyNumberFormat="0" applyBorder="0" applyAlignment="0" applyProtection="0">
      <alignment vertical="center"/>
    </xf>
    <xf numFmtId="0" fontId="40" fillId="64" borderId="0" applyNumberFormat="0" applyBorder="0" applyAlignment="0" applyProtection="0">
      <alignment vertical="center"/>
    </xf>
    <xf numFmtId="0" fontId="40" fillId="4" borderId="0" applyNumberFormat="0" applyBorder="0" applyAlignment="0" applyProtection="0">
      <alignment vertical="center"/>
    </xf>
    <xf numFmtId="0" fontId="41" fillId="12" borderId="0" applyNumberFormat="0" applyBorder="0" applyAlignment="0" applyProtection="0">
      <alignment vertical="center"/>
    </xf>
    <xf numFmtId="0" fontId="41" fillId="65" borderId="0" applyNumberFormat="0" applyBorder="0" applyAlignment="0" applyProtection="0">
      <alignment vertical="center"/>
    </xf>
    <xf numFmtId="0" fontId="40" fillId="11" borderId="0" applyNumberFormat="0" applyBorder="0" applyAlignment="0" applyProtection="0">
      <alignment vertical="center"/>
    </xf>
    <xf numFmtId="0" fontId="40" fillId="66" borderId="0" applyNumberFormat="0" applyBorder="0" applyAlignment="0" applyProtection="0">
      <alignment vertical="center"/>
    </xf>
    <xf numFmtId="0" fontId="41" fillId="67" borderId="0" applyNumberFormat="0" applyBorder="0" applyAlignment="0" applyProtection="0">
      <alignment vertical="center"/>
    </xf>
    <xf numFmtId="0" fontId="41" fillId="10" borderId="0" applyNumberFormat="0" applyBorder="0" applyAlignment="0" applyProtection="0">
      <alignment vertical="center"/>
    </xf>
    <xf numFmtId="0" fontId="40" fillId="38" borderId="0" applyNumberFormat="0" applyBorder="0" applyAlignment="0" applyProtection="0">
      <alignment vertical="center"/>
    </xf>
    <xf numFmtId="0" fontId="40" fillId="5" borderId="0" applyNumberFormat="0" applyBorder="0" applyAlignment="0" applyProtection="0">
      <alignment vertical="center"/>
    </xf>
    <xf numFmtId="0" fontId="41" fillId="40" borderId="0" applyNumberFormat="0" applyBorder="0" applyAlignment="0" applyProtection="0">
      <alignment vertical="center"/>
    </xf>
    <xf numFmtId="0" fontId="41" fillId="9" borderId="0" applyNumberFormat="0" applyBorder="0" applyAlignment="0" applyProtection="0">
      <alignment vertical="center"/>
    </xf>
    <xf numFmtId="0" fontId="40" fillId="39" borderId="0" applyNumberFormat="0" applyBorder="0" applyAlignment="0" applyProtection="0">
      <alignment vertical="center"/>
    </xf>
    <xf numFmtId="0" fontId="0" fillId="0" borderId="0"/>
    <xf numFmtId="0" fontId="10" fillId="0" borderId="0"/>
    <xf numFmtId="9" fontId="10" fillId="0" borderId="0" applyFont="0" applyFill="0" applyBorder="0" applyAlignment="0" applyProtection="0"/>
  </cellStyleXfs>
  <cellXfs count="239">
    <xf numFmtId="0" fontId="0" fillId="0" borderId="0" xfId="0"/>
    <xf numFmtId="0" fontId="1" fillId="2" borderId="1" xfId="49" applyFont="1" applyFill="1" applyBorder="1" applyAlignment="1">
      <alignment horizontal="center"/>
    </xf>
    <xf numFmtId="0" fontId="1" fillId="2" borderId="2" xfId="49" applyFont="1" applyFill="1" applyBorder="1" applyAlignment="1">
      <alignment horizontal="center"/>
    </xf>
    <xf numFmtId="0" fontId="1" fillId="2" borderId="3" xfId="49" applyFont="1" applyFill="1" applyBorder="1" applyAlignment="1">
      <alignment horizontal="center"/>
    </xf>
    <xf numFmtId="0" fontId="0" fillId="0" borderId="0" xfId="49"/>
    <xf numFmtId="0" fontId="2" fillId="3" borderId="0" xfId="49" applyFont="1" applyFill="1" applyAlignment="1">
      <alignment horizontal="center" vertical="center"/>
    </xf>
    <xf numFmtId="0" fontId="3" fillId="4" borderId="0" xfId="49" applyFont="1" applyFill="1" applyAlignment="1">
      <alignment horizontal="center" vertical="center"/>
    </xf>
    <xf numFmtId="0" fontId="2" fillId="4" borderId="0" xfId="49" applyFont="1" applyFill="1" applyAlignment="1">
      <alignment horizontal="center" vertical="center"/>
    </xf>
    <xf numFmtId="0" fontId="4" fillId="4" borderId="0" xfId="49" applyFont="1" applyFill="1" applyAlignment="1">
      <alignment horizontal="center" vertical="center"/>
    </xf>
    <xf numFmtId="2" fontId="2" fillId="4" borderId="0" xfId="49" applyNumberFormat="1" applyFont="1" applyFill="1" applyAlignment="1">
      <alignment horizontal="center" vertical="center"/>
    </xf>
    <xf numFmtId="0" fontId="0" fillId="2" borderId="0" xfId="49" applyFill="1" applyAlignment="1">
      <alignment horizontal="center" vertical="center"/>
    </xf>
    <xf numFmtId="2" fontId="0" fillId="5" borderId="0" xfId="49" applyNumberFormat="1" applyFill="1" applyAlignment="1">
      <alignment horizontal="center" vertical="center"/>
    </xf>
    <xf numFmtId="178" fontId="0" fillId="5" borderId="4" xfId="49" applyNumberFormat="1" applyFill="1" applyBorder="1" applyAlignment="1">
      <alignment horizontal="center" vertical="center"/>
    </xf>
    <xf numFmtId="2" fontId="0" fillId="2" borderId="0" xfId="49" applyNumberFormat="1" applyFill="1" applyAlignment="1">
      <alignment horizontal="center" vertical="center"/>
    </xf>
    <xf numFmtId="0" fontId="0" fillId="5" borderId="0" xfId="49" applyFill="1" applyAlignment="1">
      <alignment horizontal="center" vertical="center"/>
    </xf>
    <xf numFmtId="0" fontId="5" fillId="6" borderId="0" xfId="49" applyFont="1" applyFill="1" applyAlignment="1">
      <alignment horizontal="center" vertical="center"/>
    </xf>
    <xf numFmtId="0" fontId="6" fillId="4" borderId="0" xfId="49" applyFont="1" applyFill="1" applyAlignment="1">
      <alignment horizontal="center" vertical="center"/>
    </xf>
    <xf numFmtId="1" fontId="0" fillId="5" borderId="4" xfId="49" applyNumberFormat="1" applyFill="1" applyBorder="1" applyAlignment="1">
      <alignment horizontal="center" vertical="center"/>
    </xf>
    <xf numFmtId="178" fontId="0" fillId="5" borderId="0" xfId="49" applyNumberFormat="1" applyFill="1" applyAlignment="1">
      <alignment horizontal="center" vertical="center"/>
    </xf>
    <xf numFmtId="1" fontId="0" fillId="5" borderId="0" xfId="49" applyNumberFormat="1" applyFill="1" applyAlignment="1">
      <alignment horizontal="center" vertical="center"/>
    </xf>
    <xf numFmtId="0" fontId="0" fillId="0" borderId="0" xfId="0" applyAlignment="1">
      <alignment horizontal="center" vertical="center"/>
    </xf>
    <xf numFmtId="0" fontId="1" fillId="7" borderId="5" xfId="0" applyFont="1" applyFill="1" applyBorder="1" applyAlignment="1">
      <alignment horizontal="right" vertical="center"/>
    </xf>
    <xf numFmtId="0" fontId="0" fillId="7" borderId="6" xfId="0" applyFill="1" applyBorder="1" applyAlignment="1">
      <alignment horizontal="left" vertical="center"/>
    </xf>
    <xf numFmtId="0" fontId="1" fillId="8" borderId="5" xfId="0" applyFont="1" applyFill="1" applyBorder="1" applyAlignment="1">
      <alignment horizontal="right" vertical="center"/>
    </xf>
    <xf numFmtId="58" fontId="0" fillId="8" borderId="6" xfId="0" applyNumberFormat="1" applyFill="1" applyBorder="1" applyAlignment="1">
      <alignment horizontal="left" vertical="center"/>
    </xf>
    <xf numFmtId="0" fontId="1" fillId="9" borderId="5" xfId="0" applyFont="1" applyFill="1" applyBorder="1" applyAlignment="1">
      <alignment horizontal="right" vertical="center"/>
    </xf>
    <xf numFmtId="0" fontId="0" fillId="9" borderId="7" xfId="0" applyFill="1" applyBorder="1" applyAlignment="1">
      <alignment horizontal="left" vertical="center"/>
    </xf>
    <xf numFmtId="0" fontId="1" fillId="10" borderId="6" xfId="0" applyFont="1" applyFill="1" applyBorder="1" applyAlignment="1">
      <alignment horizontal="right" vertical="center"/>
    </xf>
    <xf numFmtId="0" fontId="0" fillId="10" borderId="7" xfId="0" applyFill="1" applyBorder="1" applyAlignment="1">
      <alignment horizontal="left" vertical="center"/>
    </xf>
    <xf numFmtId="0" fontId="7" fillId="11" borderId="8" xfId="0" applyFont="1" applyFill="1" applyBorder="1" applyAlignment="1">
      <alignment horizontal="center"/>
    </xf>
    <xf numFmtId="0" fontId="8" fillId="11" borderId="8" xfId="0" applyFont="1" applyFill="1" applyBorder="1" applyAlignment="1">
      <alignment horizontal="center"/>
    </xf>
    <xf numFmtId="0" fontId="7" fillId="11" borderId="9" xfId="0" applyFont="1" applyFill="1" applyBorder="1" applyAlignment="1">
      <alignment horizontal="center"/>
    </xf>
    <xf numFmtId="0" fontId="8" fillId="11" borderId="9" xfId="0" applyFont="1" applyFill="1" applyBorder="1" applyAlignment="1">
      <alignment horizontal="center"/>
    </xf>
    <xf numFmtId="0" fontId="7" fillId="12" borderId="9" xfId="0" applyFont="1" applyFill="1" applyBorder="1" applyAlignment="1">
      <alignment horizontal="center"/>
    </xf>
    <xf numFmtId="0" fontId="9" fillId="11" borderId="9" xfId="0" applyFont="1" applyFill="1" applyBorder="1" applyAlignment="1">
      <alignment horizontal="center"/>
    </xf>
    <xf numFmtId="2" fontId="9" fillId="12" borderId="9" xfId="0" applyNumberFormat="1" applyFont="1" applyFill="1" applyBorder="1" applyAlignment="1">
      <alignment horizontal="center"/>
    </xf>
    <xf numFmtId="45" fontId="9" fillId="12" borderId="9" xfId="0" applyNumberFormat="1" applyFont="1" applyFill="1" applyBorder="1" applyAlignment="1">
      <alignment horizontal="center"/>
    </xf>
    <xf numFmtId="0" fontId="7" fillId="13" borderId="9" xfId="0" applyFont="1" applyFill="1" applyBorder="1" applyAlignment="1">
      <alignment horizontal="center"/>
    </xf>
    <xf numFmtId="2" fontId="9" fillId="13" borderId="9" xfId="0" applyNumberFormat="1" applyFont="1" applyFill="1" applyBorder="1" applyAlignment="1">
      <alignment horizontal="center"/>
    </xf>
    <xf numFmtId="45" fontId="9" fillId="13" borderId="9" xfId="0" applyNumberFormat="1" applyFont="1" applyFill="1" applyBorder="1" applyAlignment="1">
      <alignment horizontal="center"/>
    </xf>
    <xf numFmtId="58" fontId="0" fillId="0" borderId="0" xfId="0" applyNumberFormat="1" applyAlignment="1">
      <alignment horizontal="center" vertical="center"/>
    </xf>
    <xf numFmtId="0" fontId="0" fillId="0" borderId="0" xfId="49" applyAlignment="1">
      <alignment horizontal="center" vertical="center"/>
    </xf>
    <xf numFmtId="0" fontId="10" fillId="0" borderId="0" xfId="0" applyFont="1" applyFill="1" applyAlignment="1"/>
    <xf numFmtId="0" fontId="11" fillId="14" borderId="0" xfId="0" applyFont="1" applyFill="1" applyAlignment="1">
      <alignment horizontal="center" vertical="center"/>
    </xf>
    <xf numFmtId="0" fontId="12" fillId="0" borderId="0" xfId="0" applyFont="1" applyFill="1" applyAlignment="1">
      <alignment horizontal="right" vertical="center"/>
    </xf>
    <xf numFmtId="0" fontId="13" fillId="0" borderId="0" xfId="0" applyFont="1" applyFill="1" applyAlignment="1">
      <alignment horizontal="center" vertical="center"/>
    </xf>
    <xf numFmtId="0" fontId="12" fillId="0" borderId="0" xfId="0" applyFont="1" applyFill="1" applyAlignment="1">
      <alignment horizontal="center" vertical="center"/>
    </xf>
    <xf numFmtId="179" fontId="13" fillId="0" borderId="0" xfId="0" applyNumberFormat="1" applyFont="1" applyFill="1" applyAlignment="1">
      <alignment horizontal="center" vertical="center"/>
    </xf>
    <xf numFmtId="0" fontId="2" fillId="0" borderId="0" xfId="0" applyFont="1" applyFill="1" applyAlignment="1">
      <alignment horizontal="right" vertical="center"/>
    </xf>
    <xf numFmtId="0" fontId="10" fillId="0" borderId="0" xfId="0" applyFont="1" applyFill="1" applyAlignment="1">
      <alignment horizontal="left" vertical="center"/>
    </xf>
    <xf numFmtId="0" fontId="14" fillId="0" borderId="10"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2" xfId="0" applyFont="1" applyFill="1" applyBorder="1" applyAlignment="1">
      <alignment horizontal="center" vertical="center"/>
    </xf>
    <xf numFmtId="0" fontId="16" fillId="15" borderId="0" xfId="0" applyFont="1" applyFill="1" applyAlignment="1">
      <alignment horizontal="center"/>
    </xf>
    <xf numFmtId="0" fontId="12" fillId="16" borderId="13" xfId="0" applyFont="1" applyFill="1" applyBorder="1" applyAlignment="1">
      <alignment horizontal="center"/>
    </xf>
    <xf numFmtId="180" fontId="13" fillId="0" borderId="13" xfId="0" applyNumberFormat="1" applyFont="1" applyFill="1" applyBorder="1" applyAlignment="1">
      <alignment horizontal="center"/>
    </xf>
    <xf numFmtId="179" fontId="13" fillId="0" borderId="13" xfId="0" applyNumberFormat="1" applyFont="1" applyFill="1" applyBorder="1" applyAlignment="1">
      <alignment horizontal="center"/>
    </xf>
    <xf numFmtId="3" fontId="13" fillId="0" borderId="13" xfId="0" applyNumberFormat="1" applyFont="1" applyFill="1" applyBorder="1" applyAlignment="1">
      <alignment horizontal="center"/>
    </xf>
    <xf numFmtId="181" fontId="0" fillId="0" borderId="0" xfId="0" applyNumberFormat="1" applyAlignment="1">
      <alignment horizontal="center" vertical="center"/>
    </xf>
    <xf numFmtId="0" fontId="12" fillId="0" borderId="13" xfId="0" applyFont="1" applyFill="1" applyBorder="1" applyAlignment="1"/>
    <xf numFmtId="0" fontId="15" fillId="17" borderId="13" xfId="0" applyFont="1" applyFill="1" applyBorder="1" applyAlignment="1"/>
    <xf numFmtId="3" fontId="12" fillId="17" borderId="13" xfId="0" applyNumberFormat="1" applyFont="1" applyFill="1" applyBorder="1" applyAlignment="1">
      <alignment horizontal="center"/>
    </xf>
    <xf numFmtId="3" fontId="12" fillId="18" borderId="13" xfId="0" applyNumberFormat="1" applyFont="1" applyFill="1" applyBorder="1" applyAlignment="1">
      <alignment horizontal="center"/>
    </xf>
    <xf numFmtId="4" fontId="12" fillId="17" borderId="13" xfId="0" applyNumberFormat="1" applyFont="1" applyFill="1" applyBorder="1" applyAlignment="1">
      <alignment horizontal="center"/>
    </xf>
    <xf numFmtId="0" fontId="15" fillId="19" borderId="13" xfId="0" applyFont="1" applyFill="1" applyBorder="1" applyAlignment="1"/>
    <xf numFmtId="180" fontId="12" fillId="19" borderId="13" xfId="0" applyNumberFormat="1" applyFont="1" applyFill="1" applyBorder="1" applyAlignment="1">
      <alignment horizontal="center"/>
    </xf>
    <xf numFmtId="3" fontId="12" fillId="19" borderId="13" xfId="0" applyNumberFormat="1" applyFont="1" applyFill="1" applyBorder="1" applyAlignment="1">
      <alignment horizontal="center"/>
    </xf>
    <xf numFmtId="4" fontId="12" fillId="19" borderId="13" xfId="0" applyNumberFormat="1" applyFont="1" applyFill="1" applyBorder="1" applyAlignment="1">
      <alignment horizontal="center"/>
    </xf>
    <xf numFmtId="0" fontId="12" fillId="20" borderId="13" xfId="0" applyFont="1" applyFill="1" applyBorder="1" applyAlignment="1"/>
    <xf numFmtId="0" fontId="15" fillId="20" borderId="13" xfId="0" applyFont="1" applyFill="1" applyBorder="1" applyAlignment="1"/>
    <xf numFmtId="180" fontId="12" fillId="20" borderId="13" xfId="0" applyNumberFormat="1" applyFont="1" applyFill="1" applyBorder="1" applyAlignment="1">
      <alignment horizontal="center"/>
    </xf>
    <xf numFmtId="3" fontId="12" fillId="20" borderId="13" xfId="0" applyNumberFormat="1" applyFont="1" applyFill="1" applyBorder="1" applyAlignment="1">
      <alignment horizontal="center"/>
    </xf>
    <xf numFmtId="4" fontId="17" fillId="20" borderId="13" xfId="0" applyNumberFormat="1" applyFont="1" applyFill="1" applyBorder="1" applyAlignment="1">
      <alignment horizontal="center"/>
    </xf>
    <xf numFmtId="0" fontId="15" fillId="0" borderId="13" xfId="0" applyFont="1" applyFill="1" applyBorder="1" applyAlignment="1"/>
    <xf numFmtId="180" fontId="12" fillId="21" borderId="13" xfId="0" applyNumberFormat="1" applyFont="1" applyFill="1" applyBorder="1" applyAlignment="1">
      <alignment horizontal="center"/>
    </xf>
    <xf numFmtId="3" fontId="12" fillId="21" borderId="13" xfId="0" applyNumberFormat="1" applyFont="1" applyFill="1" applyBorder="1" applyAlignment="1">
      <alignment horizontal="center"/>
    </xf>
    <xf numFmtId="4" fontId="17" fillId="21" borderId="13" xfId="0" applyNumberFormat="1" applyFont="1" applyFill="1" applyBorder="1" applyAlignment="1">
      <alignment horizontal="center"/>
    </xf>
    <xf numFmtId="0" fontId="12" fillId="0" borderId="10" xfId="0" applyFont="1" applyFill="1" applyBorder="1" applyAlignment="1">
      <alignment vertical="center"/>
    </xf>
    <xf numFmtId="0" fontId="15" fillId="22" borderId="13" xfId="0" applyFont="1" applyFill="1" applyBorder="1" applyAlignment="1"/>
    <xf numFmtId="180" fontId="12" fillId="23" borderId="13" xfId="0" applyNumberFormat="1" applyFont="1" applyFill="1" applyBorder="1" applyAlignment="1">
      <alignment horizontal="center"/>
    </xf>
    <xf numFmtId="3" fontId="12" fillId="23" borderId="13" xfId="0" applyNumberFormat="1" applyFont="1" applyFill="1" applyBorder="1" applyAlignment="1">
      <alignment horizontal="center"/>
    </xf>
    <xf numFmtId="4" fontId="12" fillId="23" borderId="13" xfId="0" applyNumberFormat="1" applyFont="1" applyFill="1" applyBorder="1" applyAlignment="1">
      <alignment horizontal="center"/>
    </xf>
    <xf numFmtId="0" fontId="15" fillId="24" borderId="13" xfId="0" applyFont="1" applyFill="1" applyBorder="1" applyAlignment="1"/>
    <xf numFmtId="180" fontId="12" fillId="25" borderId="13" xfId="0" applyNumberFormat="1" applyFont="1" applyFill="1" applyBorder="1" applyAlignment="1">
      <alignment horizontal="center"/>
    </xf>
    <xf numFmtId="3" fontId="12" fillId="25" borderId="13" xfId="0" applyNumberFormat="1" applyFont="1" applyFill="1" applyBorder="1" applyAlignment="1">
      <alignment horizontal="center"/>
    </xf>
    <xf numFmtId="4" fontId="12" fillId="25" borderId="13" xfId="0" applyNumberFormat="1" applyFont="1" applyFill="1" applyBorder="1" applyAlignment="1">
      <alignment horizontal="center"/>
    </xf>
    <xf numFmtId="0" fontId="16" fillId="14" borderId="0" xfId="0" applyFont="1" applyFill="1" applyAlignment="1">
      <alignment horizontal="center"/>
    </xf>
    <xf numFmtId="0" fontId="12" fillId="26" borderId="13" xfId="0" applyFont="1" applyFill="1" applyBorder="1" applyAlignment="1"/>
    <xf numFmtId="0" fontId="13" fillId="27" borderId="13" xfId="0" applyFont="1" applyFill="1" applyBorder="1" applyAlignment="1">
      <alignment horizontal="center"/>
    </xf>
    <xf numFmtId="182" fontId="13" fillId="27" borderId="13" xfId="0" applyNumberFormat="1" applyFont="1" applyFill="1" applyBorder="1" applyAlignment="1">
      <alignment horizontal="center"/>
    </xf>
    <xf numFmtId="3" fontId="13" fillId="27" borderId="13" xfId="0" applyNumberFormat="1" applyFont="1" applyFill="1" applyBorder="1" applyAlignment="1">
      <alignment horizontal="center" wrapText="1"/>
    </xf>
    <xf numFmtId="0" fontId="12" fillId="28" borderId="13" xfId="0" applyFont="1" applyFill="1" applyBorder="1" applyAlignment="1"/>
    <xf numFmtId="0" fontId="13" fillId="29" borderId="13" xfId="0" applyFont="1" applyFill="1" applyBorder="1" applyAlignment="1">
      <alignment horizontal="center"/>
    </xf>
    <xf numFmtId="3" fontId="13" fillId="29" borderId="13" xfId="0" applyNumberFormat="1" applyFont="1" applyFill="1" applyBorder="1" applyAlignment="1">
      <alignment horizontal="center" wrapText="1"/>
    </xf>
    <xf numFmtId="0" fontId="12" fillId="30" borderId="13" xfId="0" applyFont="1" applyFill="1" applyBorder="1" applyAlignment="1"/>
    <xf numFmtId="0" fontId="13" fillId="31" borderId="13" xfId="0" applyFont="1" applyFill="1" applyBorder="1" applyAlignment="1">
      <alignment horizontal="center"/>
    </xf>
    <xf numFmtId="3" fontId="13" fillId="31" borderId="13" xfId="0" applyNumberFormat="1" applyFont="1" applyFill="1" applyBorder="1" applyAlignment="1">
      <alignment horizontal="center" wrapText="1"/>
    </xf>
    <xf numFmtId="0" fontId="12" fillId="32" borderId="13" xfId="0" applyFont="1" applyFill="1" applyBorder="1" applyAlignment="1"/>
    <xf numFmtId="0" fontId="13" fillId="22" borderId="13" xfId="0" applyFont="1" applyFill="1" applyBorder="1" applyAlignment="1">
      <alignment horizontal="center"/>
    </xf>
    <xf numFmtId="3" fontId="13" fillId="22" borderId="13" xfId="0" applyNumberFormat="1" applyFont="1" applyFill="1" applyBorder="1" applyAlignment="1">
      <alignment horizontal="center" wrapText="1"/>
    </xf>
    <xf numFmtId="0" fontId="12" fillId="33" borderId="13" xfId="0" applyFont="1" applyFill="1" applyBorder="1" applyAlignment="1"/>
    <xf numFmtId="0" fontId="13" fillId="34" borderId="13" xfId="0" applyFont="1" applyFill="1" applyBorder="1" applyAlignment="1">
      <alignment horizontal="center"/>
    </xf>
    <xf numFmtId="3" fontId="13" fillId="34" borderId="13" xfId="0" applyNumberFormat="1" applyFont="1" applyFill="1" applyBorder="1" applyAlignment="1">
      <alignment horizontal="center" wrapText="1"/>
    </xf>
    <xf numFmtId="0" fontId="15" fillId="0" borderId="0" xfId="0" applyFont="1" applyFill="1" applyAlignment="1"/>
    <xf numFmtId="0" fontId="18" fillId="3" borderId="9" xfId="0" applyFont="1" applyFill="1" applyBorder="1" applyAlignment="1">
      <alignment horizontal="center" vertical="center"/>
    </xf>
    <xf numFmtId="0" fontId="2" fillId="35" borderId="9" xfId="0" applyFont="1" applyFill="1" applyBorder="1" applyAlignment="1">
      <alignment horizontal="center" vertical="center"/>
    </xf>
    <xf numFmtId="58" fontId="10" fillId="0" borderId="9" xfId="0" applyNumberFormat="1" applyFont="1" applyFill="1" applyBorder="1" applyAlignment="1">
      <alignment horizontal="center" vertical="center"/>
    </xf>
    <xf numFmtId="0" fontId="10" fillId="0" borderId="9" xfId="0" applyFont="1" applyFill="1" applyBorder="1" applyAlignment="1">
      <alignment horizontal="center" vertical="center"/>
    </xf>
    <xf numFmtId="58" fontId="10" fillId="36" borderId="9" xfId="0" applyNumberFormat="1" applyFont="1" applyFill="1" applyBorder="1" applyAlignment="1">
      <alignment horizontal="center" vertical="center"/>
    </xf>
    <xf numFmtId="0" fontId="10" fillId="36" borderId="9" xfId="0" applyFont="1" applyFill="1" applyBorder="1" applyAlignment="1">
      <alignment horizontal="center" vertical="center"/>
    </xf>
    <xf numFmtId="0" fontId="9" fillId="0" borderId="0" xfId="0" applyFont="1"/>
    <xf numFmtId="0" fontId="19" fillId="0" borderId="0" xfId="0" applyFont="1"/>
    <xf numFmtId="0" fontId="20" fillId="37" borderId="9" xfId="0" applyFont="1" applyFill="1" applyBorder="1" applyAlignment="1">
      <alignment horizontal="center"/>
    </xf>
    <xf numFmtId="0" fontId="8" fillId="37" borderId="9" xfId="0" applyFont="1" applyFill="1" applyBorder="1" applyAlignment="1">
      <alignment horizontal="center"/>
    </xf>
    <xf numFmtId="0" fontId="18" fillId="0" borderId="0" xfId="0" applyFont="1"/>
    <xf numFmtId="0" fontId="1" fillId="0" borderId="0" xfId="0" applyFont="1"/>
    <xf numFmtId="0" fontId="0" fillId="0" borderId="0" xfId="0" applyAlignment="1">
      <alignment wrapText="1"/>
    </xf>
    <xf numFmtId="0" fontId="21" fillId="0" borderId="0" xfId="0" applyFont="1" applyAlignment="1">
      <alignment horizontal="center" vertical="center" wrapText="1"/>
    </xf>
    <xf numFmtId="0" fontId="21" fillId="0" borderId="0" xfId="0" applyFont="1" applyAlignment="1">
      <alignment horizontal="center" vertical="center"/>
    </xf>
    <xf numFmtId="0" fontId="9" fillId="0" borderId="6" xfId="0" applyFont="1" applyBorder="1"/>
    <xf numFmtId="0" fontId="7" fillId="38" borderId="6" xfId="0" applyFont="1" applyFill="1" applyBorder="1" applyAlignment="1">
      <alignment horizontal="center"/>
    </xf>
    <xf numFmtId="0" fontId="7" fillId="38" borderId="6" xfId="0" applyFont="1" applyFill="1" applyBorder="1"/>
    <xf numFmtId="0" fontId="8" fillId="37" borderId="6" xfId="0" applyFont="1" applyFill="1" applyBorder="1" applyAlignment="1">
      <alignment horizontal="center"/>
    </xf>
    <xf numFmtId="1" fontId="9" fillId="10" borderId="6" xfId="0" applyNumberFormat="1" applyFont="1" applyFill="1" applyBorder="1" applyAlignment="1">
      <alignment horizontal="center"/>
    </xf>
    <xf numFmtId="0" fontId="9" fillId="10" borderId="6" xfId="0" applyFont="1" applyFill="1" applyBorder="1" applyAlignment="1">
      <alignment horizontal="center"/>
    </xf>
    <xf numFmtId="1" fontId="8" fillId="37" borderId="6" xfId="0" applyNumberFormat="1" applyFont="1" applyFill="1" applyBorder="1" applyAlignment="1">
      <alignment horizontal="center"/>
    </xf>
    <xf numFmtId="0" fontId="7" fillId="0" borderId="6" xfId="0" applyFont="1" applyBorder="1"/>
    <xf numFmtId="0" fontId="9" fillId="0" borderId="6" xfId="0" applyFont="1" applyBorder="1" applyAlignment="1">
      <alignment horizontal="center"/>
    </xf>
    <xf numFmtId="0" fontId="7" fillId="39" borderId="6" xfId="0" applyFont="1" applyFill="1" applyBorder="1"/>
    <xf numFmtId="0" fontId="9" fillId="40" borderId="6" xfId="0" applyFont="1" applyFill="1" applyBorder="1" applyAlignment="1">
      <alignment horizontal="center"/>
    </xf>
    <xf numFmtId="0" fontId="7" fillId="7" borderId="14" xfId="0" applyFont="1" applyFill="1" applyBorder="1" applyAlignment="1">
      <alignment horizontal="center"/>
    </xf>
    <xf numFmtId="0" fontId="7" fillId="2" borderId="14" xfId="0" applyFont="1" applyFill="1" applyBorder="1" applyAlignment="1">
      <alignment horizontal="center"/>
    </xf>
    <xf numFmtId="0" fontId="9" fillId="2" borderId="14" xfId="0" applyFont="1" applyFill="1" applyBorder="1" applyAlignment="1">
      <alignment horizontal="center"/>
    </xf>
    <xf numFmtId="1" fontId="9" fillId="2" borderId="14" xfId="0" applyNumberFormat="1" applyFont="1" applyFill="1" applyBorder="1" applyAlignment="1">
      <alignment horizontal="center"/>
    </xf>
    <xf numFmtId="0" fontId="9" fillId="2" borderId="15" xfId="0" applyFont="1" applyFill="1" applyBorder="1"/>
    <xf numFmtId="0" fontId="9" fillId="2" borderId="15" xfId="0" applyFont="1" applyFill="1" applyBorder="1" applyAlignment="1">
      <alignment horizontal="center"/>
    </xf>
    <xf numFmtId="1" fontId="9" fillId="2" borderId="15" xfId="0" applyNumberFormat="1" applyFont="1" applyFill="1" applyBorder="1" applyAlignment="1">
      <alignment horizontal="center"/>
    </xf>
    <xf numFmtId="0" fontId="7" fillId="41" borderId="0" xfId="0" applyFont="1" applyFill="1" applyAlignment="1">
      <alignment horizontal="center"/>
    </xf>
    <xf numFmtId="0" fontId="9" fillId="41" borderId="0" xfId="0" applyFont="1" applyFill="1" applyAlignment="1">
      <alignment horizontal="center"/>
    </xf>
    <xf numFmtId="0" fontId="1" fillId="0" borderId="0" xfId="0" applyFont="1" applyAlignment="1">
      <alignment horizontal="center"/>
    </xf>
    <xf numFmtId="0" fontId="9" fillId="41" borderId="0" xfId="0" applyFont="1" applyFill="1"/>
    <xf numFmtId="1" fontId="9" fillId="41" borderId="0" xfId="0" applyNumberFormat="1" applyFont="1" applyFill="1" applyAlignment="1">
      <alignment horizontal="center"/>
    </xf>
    <xf numFmtId="0" fontId="1" fillId="0" borderId="0" xfId="0" applyFont="1" applyAlignment="1">
      <alignment horizontal="right"/>
    </xf>
    <xf numFmtId="0" fontId="0" fillId="0" borderId="0" xfId="0" applyAlignment="1">
      <alignment horizontal="center" vertical="center" wrapText="1"/>
    </xf>
    <xf numFmtId="1" fontId="9" fillId="7" borderId="14" xfId="0" applyNumberFormat="1" applyFont="1" applyFill="1" applyBorder="1" applyAlignment="1">
      <alignment horizontal="center"/>
    </xf>
    <xf numFmtId="0" fontId="9" fillId="7" borderId="14" xfId="0" applyFont="1" applyFill="1" applyBorder="1" applyAlignment="1">
      <alignment horizontal="center"/>
    </xf>
    <xf numFmtId="0" fontId="9" fillId="7" borderId="15" xfId="0" applyFont="1" applyFill="1" applyBorder="1"/>
    <xf numFmtId="1" fontId="9" fillId="7" borderId="15" xfId="0" applyNumberFormat="1" applyFont="1" applyFill="1" applyBorder="1" applyAlignment="1">
      <alignment horizontal="center"/>
    </xf>
    <xf numFmtId="0" fontId="9" fillId="7" borderId="15" xfId="0" applyFont="1" applyFill="1" applyBorder="1" applyAlignment="1">
      <alignment horizontal="center"/>
    </xf>
    <xf numFmtId="0" fontId="7" fillId="42" borderId="0" xfId="0" applyFont="1" applyFill="1" applyAlignment="1">
      <alignment horizontal="center"/>
    </xf>
    <xf numFmtId="1" fontId="9" fillId="42" borderId="0" xfId="0" applyNumberFormat="1" applyFont="1" applyFill="1" applyAlignment="1">
      <alignment horizontal="center"/>
    </xf>
    <xf numFmtId="0" fontId="9" fillId="42" borderId="0" xfId="0" applyFont="1" applyFill="1" applyAlignment="1">
      <alignment horizontal="center"/>
    </xf>
    <xf numFmtId="0" fontId="9" fillId="42" borderId="0" xfId="0" applyFont="1" applyFill="1"/>
    <xf numFmtId="0" fontId="7" fillId="43" borderId="14" xfId="0" applyFont="1" applyFill="1" applyBorder="1" applyAlignment="1">
      <alignment horizontal="center"/>
    </xf>
    <xf numFmtId="1" fontId="9" fillId="43" borderId="14" xfId="0" applyNumberFormat="1" applyFont="1" applyFill="1" applyBorder="1" applyAlignment="1">
      <alignment horizontal="center"/>
    </xf>
    <xf numFmtId="0" fontId="9" fillId="43" borderId="14" xfId="0" applyFont="1" applyFill="1" applyBorder="1" applyAlignment="1">
      <alignment horizontal="center"/>
    </xf>
    <xf numFmtId="0" fontId="9" fillId="43" borderId="15" xfId="0" applyFont="1" applyFill="1" applyBorder="1"/>
    <xf numFmtId="0" fontId="9" fillId="43" borderId="15" xfId="0" applyFont="1" applyFill="1" applyBorder="1" applyAlignment="1">
      <alignment horizontal="center"/>
    </xf>
    <xf numFmtId="0" fontId="10" fillId="0" borderId="0" xfId="50"/>
    <xf numFmtId="10" fontId="0" fillId="0" borderId="0" xfId="51" applyNumberFormat="1" applyFont="1"/>
    <xf numFmtId="0" fontId="10" fillId="0" borderId="0" xfId="50" applyAlignment="1">
      <alignment horizontal="center" vertical="center"/>
    </xf>
    <xf numFmtId="0" fontId="10" fillId="37" borderId="0" xfId="50" applyFill="1"/>
    <xf numFmtId="10" fontId="0" fillId="37" borderId="0" xfId="51" applyNumberFormat="1" applyFont="1" applyFill="1"/>
    <xf numFmtId="0" fontId="10" fillId="37" borderId="0" xfId="50" applyFill="1" applyAlignment="1">
      <alignment horizontal="center" vertical="center"/>
    </xf>
    <xf numFmtId="0" fontId="2" fillId="44" borderId="5" xfId="50" applyFont="1" applyFill="1" applyBorder="1" applyAlignment="1">
      <alignment horizontal="right" vertical="center"/>
    </xf>
    <xf numFmtId="58" fontId="2" fillId="44" borderId="6" xfId="50" applyNumberFormat="1" applyFont="1" applyFill="1" applyBorder="1" applyAlignment="1">
      <alignment horizontal="left" vertical="center"/>
    </xf>
    <xf numFmtId="0" fontId="2" fillId="44" borderId="6" xfId="50" applyFont="1" applyFill="1" applyBorder="1" applyAlignment="1">
      <alignment horizontal="left" vertical="center"/>
    </xf>
    <xf numFmtId="0" fontId="2" fillId="44" borderId="6" xfId="50" applyFont="1" applyFill="1" applyBorder="1" applyAlignment="1">
      <alignment horizontal="right" vertical="center"/>
    </xf>
    <xf numFmtId="0" fontId="2" fillId="44" borderId="7" xfId="50" applyFont="1" applyFill="1" applyBorder="1" applyAlignment="1">
      <alignment horizontal="left" vertical="center"/>
    </xf>
    <xf numFmtId="0" fontId="2" fillId="3" borderId="8" xfId="50" applyFont="1" applyFill="1" applyBorder="1" applyAlignment="1">
      <alignment horizontal="center" vertical="center"/>
    </xf>
    <xf numFmtId="0" fontId="2" fillId="3" borderId="16" xfId="50" applyFont="1" applyFill="1" applyBorder="1" applyAlignment="1">
      <alignment horizontal="center" vertical="center"/>
    </xf>
    <xf numFmtId="0" fontId="2" fillId="3" borderId="15" xfId="50" applyFont="1" applyFill="1" applyBorder="1" applyAlignment="1">
      <alignment horizontal="center" vertical="center"/>
    </xf>
    <xf numFmtId="0" fontId="2" fillId="3" borderId="17" xfId="50" applyFont="1" applyFill="1" applyBorder="1" applyAlignment="1">
      <alignment horizontal="center" vertical="center"/>
    </xf>
    <xf numFmtId="0" fontId="2" fillId="3" borderId="5" xfId="50" applyFont="1" applyFill="1" applyBorder="1" applyAlignment="1">
      <alignment horizontal="center" vertical="center"/>
    </xf>
    <xf numFmtId="0" fontId="2" fillId="3" borderId="6" xfId="50" applyFont="1" applyFill="1" applyBorder="1" applyAlignment="1">
      <alignment horizontal="center" vertical="center"/>
    </xf>
    <xf numFmtId="0" fontId="2" fillId="3" borderId="7" xfId="50" applyFont="1" applyFill="1" applyBorder="1" applyAlignment="1">
      <alignment horizontal="center" vertical="center"/>
    </xf>
    <xf numFmtId="0" fontId="2" fillId="3" borderId="9" xfId="50" applyFont="1" applyFill="1" applyBorder="1" applyAlignment="1">
      <alignment horizontal="center" vertical="center"/>
    </xf>
    <xf numFmtId="0" fontId="2" fillId="45" borderId="9" xfId="50" applyFont="1" applyFill="1" applyBorder="1" applyAlignment="1">
      <alignment horizontal="center" vertical="center"/>
    </xf>
    <xf numFmtId="0" fontId="2" fillId="40" borderId="18" xfId="50" applyFont="1" applyFill="1" applyBorder="1" applyAlignment="1">
      <alignment horizontal="center" vertical="center"/>
    </xf>
    <xf numFmtId="0" fontId="2" fillId="40" borderId="9" xfId="50" applyFont="1" applyFill="1" applyBorder="1" applyAlignment="1">
      <alignment horizontal="center" vertical="center"/>
    </xf>
    <xf numFmtId="0" fontId="2" fillId="40" borderId="8" xfId="50" applyFont="1" applyFill="1" applyBorder="1" applyAlignment="1">
      <alignment horizontal="center" vertical="center"/>
    </xf>
    <xf numFmtId="0" fontId="2" fillId="12" borderId="9" xfId="50" applyFont="1" applyFill="1" applyBorder="1" applyAlignment="1">
      <alignment horizontal="center" vertical="center"/>
    </xf>
    <xf numFmtId="0" fontId="2" fillId="2" borderId="9" xfId="50" applyFont="1" applyFill="1" applyBorder="1" applyAlignment="1">
      <alignment horizontal="center" vertical="center"/>
    </xf>
    <xf numFmtId="0" fontId="2" fillId="2" borderId="5" xfId="50" applyFont="1" applyFill="1" applyBorder="1" applyAlignment="1">
      <alignment horizontal="center" vertical="center"/>
    </xf>
    <xf numFmtId="0" fontId="2" fillId="2" borderId="7" xfId="50" applyFont="1" applyFill="1" applyBorder="1" applyAlignment="1">
      <alignment horizontal="center" vertical="center"/>
    </xf>
    <xf numFmtId="0" fontId="2" fillId="46" borderId="5" xfId="50" applyFont="1" applyFill="1" applyBorder="1" applyAlignment="1">
      <alignment horizontal="center" vertical="center"/>
    </xf>
    <xf numFmtId="0" fontId="2" fillId="46" borderId="7" xfId="50" applyFont="1" applyFill="1" applyBorder="1" applyAlignment="1">
      <alignment horizontal="center" vertical="center"/>
    </xf>
    <xf numFmtId="0" fontId="2" fillId="45" borderId="7" xfId="50" applyFont="1" applyFill="1" applyBorder="1" applyAlignment="1">
      <alignment horizontal="center" vertical="center"/>
    </xf>
    <xf numFmtId="0" fontId="2" fillId="46" borderId="9" xfId="50" applyFont="1" applyFill="1" applyBorder="1" applyAlignment="1">
      <alignment horizontal="center" vertical="center"/>
    </xf>
    <xf numFmtId="0" fontId="2" fillId="42" borderId="9" xfId="50" applyFont="1" applyFill="1" applyBorder="1" applyAlignment="1">
      <alignment horizontal="center" vertical="center"/>
    </xf>
    <xf numFmtId="0" fontId="10" fillId="42" borderId="9" xfId="50" applyFill="1" applyBorder="1" applyAlignment="1">
      <alignment horizontal="center" vertical="center"/>
    </xf>
    <xf numFmtId="9" fontId="0" fillId="42" borderId="9" xfId="51" applyFont="1" applyFill="1" applyBorder="1" applyAlignment="1">
      <alignment horizontal="center" vertical="center"/>
    </xf>
    <xf numFmtId="0" fontId="2" fillId="7" borderId="9" xfId="50" applyFont="1" applyFill="1" applyBorder="1" applyAlignment="1">
      <alignment horizontal="center" vertical="center"/>
    </xf>
    <xf numFmtId="0" fontId="10" fillId="7" borderId="9" xfId="50" applyFill="1" applyBorder="1" applyAlignment="1">
      <alignment horizontal="center" vertical="center"/>
    </xf>
    <xf numFmtId="9" fontId="0" fillId="7" borderId="9" xfId="51" applyFont="1" applyFill="1" applyBorder="1" applyAlignment="1">
      <alignment horizontal="center" vertical="center"/>
    </xf>
    <xf numFmtId="0" fontId="2" fillId="41" borderId="9" xfId="50" applyFont="1" applyFill="1" applyBorder="1" applyAlignment="1">
      <alignment horizontal="center" vertical="center"/>
    </xf>
    <xf numFmtId="0" fontId="10" fillId="41" borderId="9" xfId="50" applyFill="1" applyBorder="1" applyAlignment="1">
      <alignment horizontal="center" vertical="center"/>
    </xf>
    <xf numFmtId="9" fontId="0" fillId="41" borderId="9" xfId="51" applyFont="1" applyFill="1" applyBorder="1" applyAlignment="1">
      <alignment horizontal="center" vertical="center"/>
    </xf>
    <xf numFmtId="0" fontId="10" fillId="2" borderId="9" xfId="50" applyFill="1" applyBorder="1" applyAlignment="1">
      <alignment horizontal="center" vertical="center"/>
    </xf>
    <xf numFmtId="9" fontId="0" fillId="2" borderId="9" xfId="51" applyFont="1" applyFill="1" applyBorder="1" applyAlignment="1">
      <alignment horizontal="center" vertical="center"/>
    </xf>
    <xf numFmtId="0" fontId="10" fillId="40" borderId="9" xfId="50" applyFill="1" applyBorder="1" applyAlignment="1">
      <alignment horizontal="center" vertical="center"/>
    </xf>
    <xf numFmtId="9" fontId="0" fillId="40" borderId="9" xfId="51" applyFont="1" applyFill="1" applyBorder="1" applyAlignment="1">
      <alignment horizontal="center" vertical="center"/>
    </xf>
    <xf numFmtId="0" fontId="2" fillId="9" borderId="9" xfId="50" applyFont="1" applyFill="1" applyBorder="1" applyAlignment="1">
      <alignment horizontal="center" vertical="center"/>
    </xf>
    <xf numFmtId="0" fontId="10" fillId="9" borderId="9" xfId="50" applyFill="1" applyBorder="1" applyAlignment="1">
      <alignment horizontal="center" vertical="center"/>
    </xf>
    <xf numFmtId="9" fontId="0" fillId="9" borderId="9" xfId="51" applyFont="1" applyFill="1" applyBorder="1" applyAlignment="1">
      <alignment horizontal="center" vertical="center"/>
    </xf>
    <xf numFmtId="0" fontId="2" fillId="47" borderId="5" xfId="50" applyFont="1" applyFill="1" applyBorder="1" applyAlignment="1">
      <alignment horizontal="center" vertical="center" wrapText="1"/>
    </xf>
    <xf numFmtId="2" fontId="10" fillId="47" borderId="5" xfId="50" applyNumberFormat="1" applyFill="1" applyBorder="1" applyAlignment="1">
      <alignment horizontal="center" vertical="center"/>
    </xf>
    <xf numFmtId="2" fontId="10" fillId="47" borderId="6" xfId="50" applyNumberFormat="1" applyFill="1" applyBorder="1" applyAlignment="1">
      <alignment horizontal="center" vertical="center"/>
    </xf>
    <xf numFmtId="2" fontId="10" fillId="47" borderId="7" xfId="50" applyNumberFormat="1" applyFill="1" applyBorder="1" applyAlignment="1">
      <alignment horizontal="center" vertical="center"/>
    </xf>
    <xf numFmtId="0" fontId="0" fillId="0" borderId="0" xfId="0" applyAlignment="1">
      <alignment horizontal="left" vertical="center" wrapText="1"/>
    </xf>
    <xf numFmtId="0" fontId="1" fillId="0" borderId="0" xfId="0" applyFont="1" applyAlignment="1">
      <alignment wrapText="1"/>
    </xf>
    <xf numFmtId="15" fontId="10" fillId="48" borderId="9" xfId="50" applyNumberFormat="1" applyFont="1" applyFill="1" applyBorder="1"/>
    <xf numFmtId="0" fontId="10" fillId="48" borderId="9" xfId="50" applyFont="1" applyFill="1" applyBorder="1" applyAlignment="1">
      <alignment horizontal="center" vertical="center"/>
    </xf>
    <xf numFmtId="0" fontId="10" fillId="48" borderId="5" xfId="50" applyFill="1" applyBorder="1" applyAlignment="1">
      <alignment horizontal="center" vertical="center"/>
    </xf>
    <xf numFmtId="0" fontId="2" fillId="9" borderId="5" xfId="50" applyFont="1" applyFill="1" applyBorder="1" applyAlignment="1">
      <alignment horizontal="right" vertical="center"/>
    </xf>
    <xf numFmtId="0" fontId="10" fillId="9" borderId="7" xfId="50" applyFill="1" applyBorder="1" applyAlignment="1">
      <alignment horizontal="left" vertical="center"/>
    </xf>
    <xf numFmtId="0" fontId="2" fillId="3" borderId="9" xfId="50" applyFont="1" applyFill="1" applyBorder="1" applyAlignment="1">
      <alignment horizontal="center" vertical="center" wrapText="1"/>
    </xf>
    <xf numFmtId="0" fontId="10" fillId="0" borderId="9" xfId="50" applyBorder="1"/>
    <xf numFmtId="0" fontId="10" fillId="0" borderId="9" xfId="50" applyBorder="1" applyAlignment="1">
      <alignment horizontal="center" vertical="center"/>
    </xf>
    <xf numFmtId="0" fontId="2" fillId="49" borderId="9" xfId="50" applyFont="1" applyFill="1" applyBorder="1" applyAlignment="1">
      <alignment horizontal="right" vertical="center"/>
    </xf>
    <xf numFmtId="2" fontId="10" fillId="0" borderId="9" xfId="50" applyNumberFormat="1" applyBorder="1"/>
    <xf numFmtId="0" fontId="2" fillId="49" borderId="9" xfId="50" applyFont="1" applyFill="1" applyBorder="1" applyAlignment="1">
      <alignment horizontal="center" vertical="center"/>
    </xf>
    <xf numFmtId="0" fontId="22" fillId="48" borderId="5" xfId="50" applyFont="1" applyFill="1" applyBorder="1" applyAlignment="1">
      <alignment horizontal="center" vertical="center"/>
    </xf>
    <xf numFmtId="0" fontId="22" fillId="48" borderId="6" xfId="50" applyFont="1" applyFill="1" applyBorder="1" applyAlignment="1">
      <alignment horizontal="center" vertical="center"/>
    </xf>
    <xf numFmtId="0" fontId="22" fillId="48" borderId="7" xfId="50" applyFont="1" applyFill="1" applyBorder="1" applyAlignment="1">
      <alignment horizontal="center" vertical="center"/>
    </xf>
    <xf numFmtId="0" fontId="10" fillId="0" borderId="0" xfId="50" applyFont="1" applyAlignment="1">
      <alignment horizontal="left" vertical="center" wrapText="1"/>
    </xf>
    <xf numFmtId="0" fontId="10" fillId="0" borderId="0" xfId="50" applyAlignment="1">
      <alignment horizontal="center" wrapText="1"/>
    </xf>
    <xf numFmtId="0" fontId="10" fillId="3" borderId="0" xfId="50" applyFill="1" applyAlignment="1">
      <alignment horizontal="center" vertical="center"/>
    </xf>
    <xf numFmtId="0" fontId="0" fillId="0" borderId="0" xfId="0" applyAlignment="1">
      <alignment horizontal="left" vertical="center"/>
    </xf>
    <xf numFmtId="0" fontId="0" fillId="0" borderId="0" xfId="0" applyAlignment="1">
      <alignment horizontal="left" vertical="center" indent="1"/>
    </xf>
    <xf numFmtId="0" fontId="0" fillId="0" borderId="0" xfId="0" applyAlignment="1">
      <alignment horizontal="left"/>
    </xf>
    <xf numFmtId="0" fontId="1" fillId="2" borderId="0" xfId="0" applyFont="1" applyFill="1" applyAlignment="1">
      <alignment horizontal="center" vertical="center"/>
    </xf>
    <xf numFmtId="0" fontId="9" fillId="0" borderId="0" xfId="0" applyFont="1" applyAlignment="1">
      <alignment horizontal="left" vertical="center" wrapText="1"/>
    </xf>
    <xf numFmtId="0" fontId="1" fillId="12" borderId="0" xfId="0" applyFont="1" applyFill="1" applyAlignment="1">
      <alignment horizontal="center" vertical="center"/>
    </xf>
    <xf numFmtId="0" fontId="1" fillId="40" borderId="0" xfId="0" applyFont="1" applyFill="1" applyAlignment="1">
      <alignment vertical="center"/>
    </xf>
    <xf numFmtId="0" fontId="1" fillId="10" borderId="0" xfId="0" applyFont="1" applyFill="1" applyAlignment="1">
      <alignment horizontal="center" vertical="center"/>
    </xf>
    <xf numFmtId="0" fontId="1" fillId="50" borderId="0" xfId="0" applyFont="1" applyFill="1" applyAlignment="1">
      <alignment horizontal="center" vertical="center" wrapText="1"/>
    </xf>
    <xf numFmtId="0" fontId="1" fillId="48" borderId="0" xfId="0" applyFont="1" applyFill="1" applyAlignment="1">
      <alignment horizontal="center" vertical="center"/>
    </xf>
    <xf numFmtId="0" fontId="1" fillId="0" borderId="0" xfId="0" applyFont="1" applyAlignment="1">
      <alignment horizontal="center" vertical="center" wrapText="1"/>
    </xf>
  </cellXfs>
  <cellStyles count="52">
    <cellStyle name="Normal" xfId="0" builtinId="0"/>
    <cellStyle name="Coma" xfId="1" builtinId="3"/>
    <cellStyle name="Moneda" xfId="2" builtinId="4"/>
    <cellStyle name="Porcentaje" xfId="3" builtinId="5"/>
    <cellStyle name="Coma [0]" xfId="4" builtinId="6"/>
    <cellStyle name="Moneda [0]" xfId="5" builtinId="7"/>
    <cellStyle name="Hipervínculo" xfId="6" builtinId="8"/>
    <cellStyle name="Hipervínculo visitado" xfId="7" builtinId="9"/>
    <cellStyle name="Nota" xfId="8" builtinId="10"/>
    <cellStyle name="Texto de advertencia" xfId="9" builtinId="11"/>
    <cellStyle name="Título" xfId="10" builtinId="15"/>
    <cellStyle name="Texto explicativo" xfId="11" builtinId="53"/>
    <cellStyle name="Título 1" xfId="12" builtinId="16"/>
    <cellStyle name="Título 2" xfId="13" builtinId="17"/>
    <cellStyle name="Título 3" xfId="14" builtinId="18"/>
    <cellStyle name="Título 4" xfId="15" builtinId="19"/>
    <cellStyle name="Entrada" xfId="16" builtinId="20"/>
    <cellStyle name="Salida" xfId="17" builtinId="21"/>
    <cellStyle name="Cálculo" xfId="18" builtinId="22"/>
    <cellStyle name="Celda de comprobación" xfId="19" builtinId="23"/>
    <cellStyle name="Celda vinculada" xfId="20" builtinId="24"/>
    <cellStyle name="Total" xfId="21" builtinId="25"/>
    <cellStyle name="Correcto" xfId="22" builtinId="26"/>
    <cellStyle name="Incorrecto" xfId="23" builtinId="27"/>
    <cellStyle name="Neutro" xfId="24" builtinId="28"/>
    <cellStyle name="Énfasis1" xfId="25" builtinId="29"/>
    <cellStyle name="20% - Énfasis1" xfId="26" builtinId="30"/>
    <cellStyle name="40% - Énfasis1" xfId="27" builtinId="31"/>
    <cellStyle name="60% - Énfasis1" xfId="28" builtinId="32"/>
    <cellStyle name="Énfasis2" xfId="29" builtinId="33"/>
    <cellStyle name="20% - Énfasis2" xfId="30" builtinId="34"/>
    <cellStyle name="40% - Énfasis2" xfId="31" builtinId="35"/>
    <cellStyle name="60% - Énfasis2" xfId="32" builtinId="36"/>
    <cellStyle name="Énfasis3" xfId="33" builtinId="37"/>
    <cellStyle name="20% - Énfasis3" xfId="34" builtinId="38"/>
    <cellStyle name="40% - Énfasis3" xfId="35" builtinId="39"/>
    <cellStyle name="60% - Énfasis3" xfId="36" builtinId="40"/>
    <cellStyle name="Énfasis4" xfId="37" builtinId="41"/>
    <cellStyle name="20% - Énfasis4" xfId="38" builtinId="42"/>
    <cellStyle name="40% - Énfasis4" xfId="39" builtinId="43"/>
    <cellStyle name="60% - Énfasis4" xfId="40" builtinId="44"/>
    <cellStyle name="Énfasis5" xfId="41" builtinId="45"/>
    <cellStyle name="20% - Énfasis5" xfId="42" builtinId="46"/>
    <cellStyle name="40% - Énfasis5" xfId="43" builtinId="47"/>
    <cellStyle name="60% - Énfasis5" xfId="44" builtinId="48"/>
    <cellStyle name="Énfasis6" xfId="45" builtinId="49"/>
    <cellStyle name="20% - Énfasis6" xfId="46" builtinId="50"/>
    <cellStyle name="40% - Énfasis6" xfId="47" builtinId="51"/>
    <cellStyle name="60% - Énfasis6" xfId="48" builtinId="52"/>
    <cellStyle name="Normal 2" xfId="49"/>
    <cellStyle name="Normal 3" xfId="50"/>
    <cellStyle name="Porcentaje 2" xfId="51"/>
  </cellStyles>
  <tableStyles count="0" defaultTableStyle="TableStyleMedium9" defaultPivotStyle="PivotStyleMedium7"/>
  <colors>
    <mruColors>
      <color rgb="00FFE7A3"/>
      <color rgb="00FFD9D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tyles" Target="styles.xml"/><Relationship Id="rId17" Type="http://schemas.openxmlformats.org/officeDocument/2006/relationships/sheetMetadata" Target="metadata.xml"/><Relationship Id="rId16" Type="http://schemas.openxmlformats.org/officeDocument/2006/relationships/sharedStrings" Target="sharedStrings.xml"/><Relationship Id="rId15" Type="http://schemas.openxmlformats.org/officeDocument/2006/relationships/theme" Target="theme/theme1.xml"/><Relationship Id="rId14" Type="http://schemas.openxmlformats.org/officeDocument/2006/relationships/externalLink" Target="externalLinks/externalLink4.xml"/><Relationship Id="rId13" Type="http://schemas.openxmlformats.org/officeDocument/2006/relationships/externalLink" Target="externalLinks/externalLink3.xml"/><Relationship Id="rId12" Type="http://schemas.openxmlformats.org/officeDocument/2006/relationships/externalLink" Target="externalLinks/externalLink2.xml"/><Relationship Id="rId11" Type="http://schemas.openxmlformats.org/officeDocument/2006/relationships/externalLink" Target="externalLinks/externalLink1.xml"/><Relationship Id="rId10" Type="http://schemas.openxmlformats.org/officeDocument/2006/relationships/worksheet" Target="worksheets/sheet10.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400" b="1" i="0" u="none" strike="noStrike" kern="1200" cap="none" baseline="0">
                <a:solidFill>
                  <a:schemeClr val="lt1">
                    <a:lumMod val="85000"/>
                  </a:schemeClr>
                </a:solidFill>
                <a:latin typeface="+mn-lt"/>
                <a:ea typeface="+mn-ea"/>
                <a:cs typeface="+mn-cs"/>
              </a:defRPr>
            </a:pPr>
            <a:r>
              <a:rPr lang="es-ES" baseline="0"/>
              <a:t>CURVA DE LACTATO Y PULSO</a:t>
            </a:r>
            <a:endParaRPr lang="es-ES"/>
          </a:p>
        </c:rich>
      </c:tx>
      <c:layout/>
      <c:overlay val="0"/>
      <c:spPr>
        <a:noFill/>
        <a:ln>
          <a:solidFill>
            <a:schemeClr val="accent1">
              <a:alpha val="58000"/>
            </a:schemeClr>
          </a:solidFill>
        </a:ln>
        <a:effectLst/>
      </c:spPr>
    </c:title>
    <c:autoTitleDeleted val="0"/>
    <c:plotArea>
      <c:layout/>
      <c:lineChart>
        <c:grouping val="standard"/>
        <c:varyColors val="0"/>
        <c:ser>
          <c:idx val="0"/>
          <c:order val="0"/>
          <c:tx>
            <c:strRef>
              <c:f>'Datos PSM'!$C$3</c:f>
              <c:strCache>
                <c:ptCount val="1"/>
                <c:pt idx="0">
                  <c:v>LACTATO</c:v>
                </c:pt>
              </c:strCache>
            </c:strRef>
          </c:tx>
          <c:spPr>
            <a:ln w="22225" cap="rnd">
              <a:solidFill>
                <a:schemeClr val="accent1"/>
              </a:solid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lt1">
                        <a:lumMod val="75000"/>
                      </a:schemeClr>
                    </a:solidFill>
                    <a:latin typeface="+mn-lt"/>
                    <a:ea typeface="+mn-ea"/>
                    <a:cs typeface="+mn-cs"/>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'Datos PSM'!$D$5:$D$13</c:f>
              <c:numCache>
                <c:formatCode>General</c:formatCode>
                <c:ptCount val="9"/>
                <c:pt idx="2">
                  <c:v>180</c:v>
                </c:pt>
                <c:pt idx="3">
                  <c:v>215</c:v>
                </c:pt>
                <c:pt idx="4">
                  <c:v>250</c:v>
                </c:pt>
                <c:pt idx="5">
                  <c:v>285</c:v>
                </c:pt>
                <c:pt idx="6">
                  <c:v>320</c:v>
                </c:pt>
              </c:numCache>
            </c:numRef>
          </c:cat>
          <c:val>
            <c:numRef>
              <c:f>'Datos PSM'!$C$5:$C$11</c:f>
              <c:numCache>
                <c:formatCode>General</c:formatCode>
                <c:ptCount val="7"/>
              </c:numCache>
            </c:numRef>
          </c:val>
          <c:smooth val="0"/>
        </c:ser>
        <c:dLbls>
          <c:showLegendKey val="0"/>
          <c:showVal val="1"/>
          <c:showCatName val="0"/>
          <c:showSerName val="0"/>
          <c:showPercent val="0"/>
          <c:showBubbleSize val="0"/>
        </c:dLbls>
        <c:marker val="1"/>
        <c:smooth val="0"/>
        <c:axId val="424618448"/>
        <c:axId val="424618120"/>
      </c:lineChart>
      <c:lineChart>
        <c:grouping val="standard"/>
        <c:varyColors val="0"/>
        <c:ser>
          <c:idx val="1"/>
          <c:order val="1"/>
          <c:tx>
            <c:strRef>
              <c:f>'Datos PSM'!$E$3</c:f>
              <c:strCache>
                <c:ptCount val="1"/>
                <c:pt idx="0">
                  <c:v>PULSO</c:v>
                </c:pt>
              </c:strCache>
            </c:strRef>
          </c:tx>
          <c:spPr>
            <a:ln w="22225" cap="rnd">
              <a:solidFill>
                <a:schemeClr val="accent2"/>
              </a:solidFill>
            </a:ln>
            <a:effectLst>
              <a:glow rad="139700">
                <a:schemeClr val="accent2">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lt1">
                        <a:lumMod val="75000"/>
                      </a:schemeClr>
                    </a:solidFill>
                    <a:latin typeface="+mn-lt"/>
                    <a:ea typeface="+mn-ea"/>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'Datos PSM'!$D$5:$D$13</c:f>
              <c:numCache>
                <c:formatCode>General</c:formatCode>
                <c:ptCount val="9"/>
                <c:pt idx="2">
                  <c:v>180</c:v>
                </c:pt>
                <c:pt idx="3">
                  <c:v>215</c:v>
                </c:pt>
                <c:pt idx="4">
                  <c:v>250</c:v>
                </c:pt>
                <c:pt idx="5">
                  <c:v>285</c:v>
                </c:pt>
                <c:pt idx="6">
                  <c:v>320</c:v>
                </c:pt>
              </c:numCache>
            </c:numRef>
          </c:cat>
          <c:val>
            <c:numRef>
              <c:f>'Datos PSM'!$E$5:$E$13</c:f>
              <c:numCache>
                <c:formatCode>General</c:formatCode>
                <c:ptCount val="9"/>
              </c:numCache>
            </c:numRef>
          </c:val>
          <c:smooth val="0"/>
        </c:ser>
        <c:dLbls>
          <c:showLegendKey val="0"/>
          <c:showVal val="0"/>
          <c:showCatName val="0"/>
          <c:showSerName val="0"/>
          <c:showPercent val="0"/>
          <c:showBubbleSize val="0"/>
        </c:dLbls>
        <c:marker val="0"/>
        <c:smooth val="0"/>
        <c:axId val="203257392"/>
        <c:axId val="203253072"/>
      </c:lineChart>
      <c:catAx>
        <c:axId val="424618448"/>
        <c:scaling>
          <c:orientation val="minMax"/>
        </c:scaling>
        <c:delete val="0"/>
        <c:axPos val="b"/>
        <c:minorGridlines>
          <c:spPr>
            <a:ln w="9525" cap="flat" cmpd="sng" algn="ctr">
              <a:solidFill>
                <a:schemeClr val="dk1">
                  <a:lumMod val="65000"/>
                  <a:lumOff val="35000"/>
                  <a:alpha val="25000"/>
                </a:schemeClr>
              </a:solidFill>
              <a:round/>
            </a:ln>
            <a:effectLst/>
          </c:spPr>
        </c:minorGridlines>
        <c:title>
          <c:tx>
            <c:rich>
              <a:bodyPr rot="0" spcFirstLastPara="1" vertOverflow="ellipsis" vert="horz" wrap="square" anchor="ctr" anchorCtr="1"/>
              <a:lstStyle/>
              <a:p>
                <a:pPr>
                  <a:defRPr lang="es-ES" sz="900" b="1" i="0" u="none" strike="noStrike" kern="1200" baseline="0">
                    <a:solidFill>
                      <a:schemeClr val="lt1">
                        <a:lumMod val="75000"/>
                      </a:schemeClr>
                    </a:solidFill>
                    <a:latin typeface="+mn-lt"/>
                    <a:ea typeface="+mn-ea"/>
                    <a:cs typeface="+mn-cs"/>
                  </a:defRPr>
                </a:pPr>
                <a:r>
                  <a:rPr lang="es-ES"/>
                  <a:t>POTECIA (w)</a:t>
                </a:r>
                <a:endParaRPr lang="es-ES"/>
              </a:p>
            </c:rich>
          </c:tx>
          <c:layout>
            <c:manualLayout>
              <c:xMode val="edge"/>
              <c:yMode val="edge"/>
              <c:x val="0.494302627292844"/>
              <c:y val="0.922885680956547"/>
            </c:manualLayout>
          </c:layout>
          <c:overlay val="0"/>
          <c:spPr>
            <a:noFill/>
            <a:ln>
              <a:noFill/>
            </a:ln>
            <a:effectLst/>
          </c:sp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lang="es-ES" sz="900" b="0" i="0" u="none" strike="noStrike" kern="1200" baseline="0">
                <a:solidFill>
                  <a:schemeClr val="lt1">
                    <a:lumMod val="75000"/>
                  </a:schemeClr>
                </a:solidFill>
                <a:latin typeface="+mn-lt"/>
                <a:ea typeface="+mn-ea"/>
                <a:cs typeface="+mn-cs"/>
              </a:defRPr>
            </a:pPr>
          </a:p>
        </c:txPr>
        <c:crossAx val="424618120"/>
        <c:crosses val="autoZero"/>
        <c:auto val="1"/>
        <c:lblAlgn val="ctr"/>
        <c:lblOffset val="100"/>
        <c:noMultiLvlLbl val="1"/>
      </c:catAx>
      <c:valAx>
        <c:axId val="424618120"/>
        <c:scaling>
          <c:orientation val="minMax"/>
        </c:scaling>
        <c:delete val="0"/>
        <c:axPos val="l"/>
        <c:majorGridlines>
          <c:spPr>
            <a:ln w="9525" cap="flat" cmpd="sng" algn="ctr">
              <a:solidFill>
                <a:schemeClr val="dk1">
                  <a:lumMod val="65000"/>
                  <a:lumOff val="35000"/>
                  <a:alpha val="75000"/>
                </a:schemeClr>
              </a:solidFill>
              <a:round/>
            </a:ln>
            <a:effectLst/>
          </c:spPr>
        </c:majorGridlines>
        <c:title>
          <c:tx>
            <c:rich>
              <a:bodyPr rot="-5400000" spcFirstLastPara="1" vertOverflow="ellipsis" vert="horz" wrap="square" anchor="ctr" anchorCtr="1"/>
              <a:lstStyle/>
              <a:p>
                <a:pPr>
                  <a:defRPr lang="es-ES" sz="900" b="1" i="0" u="none" strike="noStrike" kern="1200" baseline="0">
                    <a:solidFill>
                      <a:schemeClr val="lt1">
                        <a:lumMod val="75000"/>
                      </a:schemeClr>
                    </a:solidFill>
                    <a:latin typeface="+mn-lt"/>
                    <a:ea typeface="+mn-ea"/>
                    <a:cs typeface="+mn-cs"/>
                  </a:defRPr>
                </a:pPr>
                <a:r>
                  <a:rPr lang="es-ES"/>
                  <a:t>PULSO</a:t>
                </a:r>
                <a:r>
                  <a:rPr lang="es-ES" baseline="0"/>
                  <a:t> (lpm)  LACTATO (mmol x 100)</a:t>
                </a:r>
                <a:endParaRPr lang="es-ES"/>
              </a:p>
            </c:rich>
          </c:tx>
          <c:layout/>
          <c:overlay val="0"/>
          <c:spPr>
            <a:noFill/>
            <a:ln>
              <a:noFill/>
            </a:ln>
            <a:effectLst/>
          </c:spPr>
        </c:title>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lang="es-ES" sz="900" b="0" i="0" u="none" strike="noStrike" kern="1200" baseline="0">
                <a:solidFill>
                  <a:schemeClr val="lt1">
                    <a:lumMod val="75000"/>
                  </a:schemeClr>
                </a:solidFill>
                <a:latin typeface="+mn-lt"/>
                <a:ea typeface="+mn-ea"/>
                <a:cs typeface="+mn-cs"/>
              </a:defRPr>
            </a:pPr>
          </a:p>
        </c:txPr>
        <c:crossAx val="424618448"/>
        <c:crosses val="autoZero"/>
        <c:crossBetween val="between"/>
      </c:valAx>
      <c:catAx>
        <c:axId val="203257392"/>
        <c:scaling>
          <c:orientation val="minMax"/>
        </c:scaling>
        <c:delete val="1"/>
        <c:axPos val="b"/>
        <c:numFmt formatCode="General" sourceLinked="1"/>
        <c:majorTickMark val="out"/>
        <c:minorTickMark val="none"/>
        <c:tickLblPos val="nextTo"/>
        <c:txPr>
          <a:bodyPr rot="-60000000" spcFirstLastPara="0" vertOverflow="ellipsis" vert="horz" wrap="square" anchor="ctr" anchorCtr="1"/>
          <a:lstStyle/>
          <a:p>
            <a:pPr>
              <a:defRPr lang="es-ES" sz="900" b="0" i="0" u="none" strike="noStrike" kern="1200" baseline="0">
                <a:solidFill>
                  <a:schemeClr val="lt1">
                    <a:lumMod val="75000"/>
                  </a:schemeClr>
                </a:solidFill>
                <a:latin typeface="+mn-lt"/>
                <a:ea typeface="+mn-ea"/>
                <a:cs typeface="+mn-cs"/>
              </a:defRPr>
            </a:pPr>
          </a:p>
        </c:txPr>
        <c:crossAx val="203253072"/>
        <c:crosses val="autoZero"/>
        <c:auto val="1"/>
        <c:lblAlgn val="ctr"/>
        <c:lblOffset val="100"/>
        <c:noMultiLvlLbl val="0"/>
      </c:catAx>
      <c:valAx>
        <c:axId val="203253072"/>
        <c:scaling>
          <c:orientation val="minMax"/>
        </c:scaling>
        <c:delete val="0"/>
        <c:axPos val="r"/>
        <c:numFmt formatCode="General" sourceLinked="1"/>
        <c:majorTickMark val="out"/>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lang="es-ES" sz="900" b="0" i="0" u="none" strike="noStrike" kern="1200" baseline="0">
                <a:solidFill>
                  <a:schemeClr val="lt1">
                    <a:lumMod val="75000"/>
                  </a:schemeClr>
                </a:solidFill>
                <a:latin typeface="+mn-lt"/>
                <a:ea typeface="+mn-ea"/>
                <a:cs typeface="+mn-cs"/>
              </a:defRPr>
            </a:pPr>
          </a:p>
        </c:txPr>
        <c:crossAx val="203257392"/>
        <c:crosses val="max"/>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lang="es-ES" sz="900" b="0" i="0" u="none" strike="noStrike" kern="1200" baseline="0">
              <a:solidFill>
                <a:schemeClr val="lt1">
                  <a:lumMod val="75000"/>
                </a:schemeClr>
              </a:solidFill>
              <a:latin typeface="+mn-lt"/>
              <a:ea typeface="+mn-ea"/>
              <a:cs typeface="+mn-cs"/>
            </a:defRPr>
          </a:pPr>
        </a:p>
      </c:txPr>
    </c:legend>
    <c:plotVisOnly val="1"/>
    <c:dispBlanksAs val="gap"/>
    <c:showDLblsOverMax val="0"/>
    <c:extLst>
      <c:ext uri="{0b15fc19-7d7d-44ad-8c2d-2c3a37ce22c3}">
        <chartProps xmlns="https://web.wps.cn/et/2018/main" chartId="{3f19e532-a7e8-4519-b7f6-e1cd0f8c0dce}"/>
      </c:ext>
    </c:extLst>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lang="es-ES"/>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400" b="1" i="0" u="none" strike="noStrike" kern="1200" cap="none" baseline="0">
                <a:solidFill>
                  <a:schemeClr val="lt1">
                    <a:lumMod val="85000"/>
                  </a:schemeClr>
                </a:solidFill>
                <a:latin typeface="+mn-lt"/>
                <a:ea typeface="+mn-ea"/>
                <a:cs typeface="+mn-cs"/>
              </a:defRPr>
            </a:pPr>
            <a:r>
              <a:rPr lang="es-ES"/>
              <a:t>TEST LACTATO</a:t>
            </a:r>
            <a:endParaRPr lang="es-ES"/>
          </a:p>
        </c:rich>
      </c:tx>
      <c:layout/>
      <c:overlay val="0"/>
      <c:spPr>
        <a:noFill/>
        <a:ln>
          <a:noFill/>
        </a:ln>
        <a:effectLst/>
      </c:spPr>
    </c:title>
    <c:autoTitleDeleted val="0"/>
    <c:plotArea>
      <c:layout/>
      <c:lineChart>
        <c:grouping val="standard"/>
        <c:varyColors val="0"/>
        <c:ser>
          <c:idx val="0"/>
          <c:order val="0"/>
          <c:tx>
            <c:strRef>
              <c:f>"RPE"</c:f>
              <c:strCache>
                <c:ptCount val="1"/>
                <c:pt idx="0">
                  <c:v>RPE</c:v>
                </c:pt>
              </c:strCache>
            </c:strRef>
          </c:tx>
          <c:spPr>
            <a:ln w="22225" cap="rnd">
              <a:solidFill>
                <a:schemeClr val="accent6"/>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lt1">
                        <a:lumMod val="75000"/>
                      </a:schemeClr>
                    </a:solidFill>
                    <a:latin typeface="+mn-lt"/>
                    <a:ea typeface="+mn-ea"/>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val>
            <c:numRef>
              <c:f>'Datos Aclarado'!$T$6:$T$11</c:f>
              <c:numCache>
                <c:formatCode>General</c:formatCode>
                <c:ptCount val="6"/>
                <c:pt idx="0">
                  <c:v>16</c:v>
                </c:pt>
                <c:pt idx="1">
                  <c:v>18</c:v>
                </c:pt>
                <c:pt idx="2">
                  <c:v>23</c:v>
                </c:pt>
                <c:pt idx="3">
                  <c:v>42</c:v>
                </c:pt>
                <c:pt idx="4">
                  <c:v>55</c:v>
                </c:pt>
                <c:pt idx="5">
                  <c:v>59</c:v>
                </c:pt>
              </c:numCache>
            </c:numRef>
          </c:val>
          <c:smooth val="0"/>
        </c:ser>
        <c:ser>
          <c:idx val="2"/>
          <c:order val="1"/>
          <c:tx>
            <c:strRef>
              <c:f>"FC"</c:f>
              <c:strCache>
                <c:ptCount val="1"/>
                <c:pt idx="0">
                  <c:v>FC</c:v>
                </c:pt>
              </c:strCache>
            </c:strRef>
          </c:tx>
          <c:spPr>
            <a:ln w="22225" cap="rnd">
              <a:solidFill>
                <a:srgbClr val="FF0000"/>
              </a:solidFill>
            </a:ln>
            <a:effectLst>
              <a:glow rad="139700">
                <a:schemeClr val="accent3">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lt1">
                        <a:lumMod val="75000"/>
                      </a:schemeClr>
                    </a:solidFill>
                    <a:latin typeface="+mn-lt"/>
                    <a:ea typeface="+mn-ea"/>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val>
            <c:numRef>
              <c:f>'Datos Aclarado'!$V$6:$V$11</c:f>
              <c:numCache>
                <c:formatCode>General</c:formatCode>
                <c:ptCount val="6"/>
                <c:pt idx="0">
                  <c:v>122</c:v>
                </c:pt>
                <c:pt idx="1">
                  <c:v>133</c:v>
                </c:pt>
                <c:pt idx="2">
                  <c:v>140</c:v>
                </c:pt>
                <c:pt idx="3">
                  <c:v>162</c:v>
                </c:pt>
                <c:pt idx="4">
                  <c:v>171</c:v>
                </c:pt>
                <c:pt idx="5">
                  <c:v>182</c:v>
                </c:pt>
              </c:numCache>
            </c:numRef>
          </c:val>
          <c:smooth val="0"/>
        </c:ser>
        <c:ser>
          <c:idx val="3"/>
          <c:order val="2"/>
          <c:tx>
            <c:strRef>
              <c:f>"LAC x 10"</c:f>
              <c:strCache>
                <c:ptCount val="1"/>
                <c:pt idx="0">
                  <c:v>LAC x 10</c:v>
                </c:pt>
              </c:strCache>
            </c:strRef>
          </c:tx>
          <c:spPr>
            <a:ln w="22225" cap="rnd">
              <a:solidFill>
                <a:schemeClr val="accent4"/>
              </a:solidFill>
            </a:ln>
            <a:effectLst>
              <a:glow rad="139700">
                <a:schemeClr val="accent4">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lt1">
                        <a:lumMod val="75000"/>
                      </a:schemeClr>
                    </a:solidFill>
                    <a:latin typeface="+mn-lt"/>
                    <a:ea typeface="+mn-ea"/>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val>
            <c:numRef>
              <c:f>'Datos Aclarado'!$W$6:$W$11</c:f>
              <c:numCache>
                <c:formatCode>General</c:formatCode>
                <c:ptCount val="6"/>
                <c:pt idx="0">
                  <c:v>20</c:v>
                </c:pt>
                <c:pt idx="1">
                  <c:v>30</c:v>
                </c:pt>
                <c:pt idx="2">
                  <c:v>50</c:v>
                </c:pt>
                <c:pt idx="3">
                  <c:v>70</c:v>
                </c:pt>
                <c:pt idx="4">
                  <c:v>80</c:v>
                </c:pt>
                <c:pt idx="5">
                  <c:v>80</c:v>
                </c:pt>
              </c:numCache>
            </c:numRef>
          </c:val>
          <c:smooth val="0"/>
        </c:ser>
        <c:dLbls>
          <c:showLegendKey val="0"/>
          <c:showVal val="1"/>
          <c:showCatName val="0"/>
          <c:showSerName val="0"/>
          <c:showPercent val="0"/>
          <c:showBubbleSize val="0"/>
        </c:dLbls>
        <c:marker val="0"/>
        <c:smooth val="0"/>
        <c:axId val="741389856"/>
        <c:axId val="741378624"/>
      </c:lineChart>
      <c:catAx>
        <c:axId val="741389856"/>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lang="es-ES" sz="900" b="0" i="0" u="none" strike="noStrike" kern="1200" baseline="0">
                <a:solidFill>
                  <a:schemeClr val="lt1">
                    <a:lumMod val="75000"/>
                  </a:schemeClr>
                </a:solidFill>
                <a:latin typeface="+mn-lt"/>
                <a:ea typeface="+mn-ea"/>
                <a:cs typeface="+mn-cs"/>
              </a:defRPr>
            </a:pPr>
          </a:p>
        </c:txPr>
        <c:crossAx val="741378624"/>
        <c:crosses val="autoZero"/>
        <c:auto val="1"/>
        <c:lblAlgn val="ctr"/>
        <c:lblOffset val="100"/>
        <c:noMultiLvlLbl val="0"/>
      </c:catAx>
      <c:valAx>
        <c:axId val="741378624"/>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ES" sz="900" b="0" i="0" u="none" strike="noStrike" kern="1200" baseline="0">
                <a:solidFill>
                  <a:schemeClr val="lt1">
                    <a:lumMod val="75000"/>
                  </a:schemeClr>
                </a:solidFill>
                <a:latin typeface="+mn-lt"/>
                <a:ea typeface="+mn-ea"/>
                <a:cs typeface="+mn-cs"/>
              </a:defRPr>
            </a:pPr>
          </a:p>
        </c:txPr>
        <c:crossAx val="74138985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lang="es-ES" sz="900" b="0" i="0" u="none" strike="noStrike" kern="1200" baseline="0">
              <a:solidFill>
                <a:schemeClr val="lt1">
                  <a:lumMod val="75000"/>
                </a:schemeClr>
              </a:solidFill>
              <a:latin typeface="+mn-lt"/>
              <a:ea typeface="+mn-ea"/>
              <a:cs typeface="+mn-cs"/>
            </a:defRPr>
          </a:pPr>
        </a:p>
      </c:txPr>
    </c:legend>
    <c:plotVisOnly val="1"/>
    <c:dispBlanksAs val="gap"/>
    <c:showDLblsOverMax val="0"/>
    <c:extLst>
      <c:ext uri="{0b15fc19-7d7d-44ad-8c2d-2c3a37ce22c3}">
        <chartProps xmlns="https://web.wps.cn/et/2018/main" chartId="{a8689bfd-bc72-4a0e-a55f-7b89b9b60484}"/>
      </c:ext>
    </c:extLst>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lang="es-ES"/>
      </a:pP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20825628986"/>
          <c:y val="0.0323084477678802"/>
          <c:w val="0.736276304433529"/>
          <c:h val="0.857027688278571"/>
        </c:manualLayout>
      </c:layout>
      <c:scatterChart>
        <c:scatterStyle val="marker"/>
        <c:varyColors val="0"/>
        <c:ser>
          <c:idx val="0"/>
          <c:order val="1"/>
          <c:tx>
            <c:strRef>
              <c:f>"lactato"</c:f>
              <c:strCache>
                <c:ptCount val="1"/>
                <c:pt idx="0">
                  <c:v>lactato</c:v>
                </c:pt>
              </c:strCache>
            </c:strRef>
          </c:tx>
          <c:spPr>
            <a:ln w="31750" cap="rnd">
              <a:noFill/>
              <a:round/>
            </a:ln>
            <a:effectLst/>
          </c:spPr>
          <c:marker>
            <c:symbol val="circle"/>
            <c:size val="5"/>
            <c:spPr>
              <a:solidFill>
                <a:srgbClr val="7030A0"/>
              </a:solidFill>
              <a:ln w="57150">
                <a:solidFill>
                  <a:srgbClr val="0070C0"/>
                </a:solidFill>
              </a:ln>
              <a:effectLst/>
            </c:spPr>
          </c:marker>
          <c:dLbls>
            <c:delete val="1"/>
          </c:dLbls>
          <c:trendline>
            <c:spPr>
              <a:ln w="19050" cap="rnd">
                <a:noFill/>
                <a:prstDash val="sysDot"/>
              </a:ln>
              <a:effectLst/>
            </c:spPr>
            <c:trendlineType val="poly"/>
            <c:order val="3"/>
            <c:dispRSqr val="0"/>
            <c:dispEq val="0"/>
          </c:trendline>
          <c:trendline>
            <c:spPr>
              <a:ln w="19050" cap="rnd">
                <a:solidFill>
                  <a:schemeClr val="accent1"/>
                </a:solidFill>
                <a:prstDash val="sysDot"/>
              </a:ln>
              <a:effectLst/>
            </c:spPr>
            <c:trendlineType val="poly"/>
            <c:order val="3"/>
            <c:dispRSqr val="0"/>
            <c:dispEq val="0"/>
          </c:trendline>
          <c:xVal>
            <c:numRef>
              <c:f>'Test Lactato'!$B$3:$B$17</c:f>
              <c:numCache>
                <c:formatCode>General</c:formatCode>
                <c:ptCount val="15"/>
                <c:pt idx="0">
                  <c:v>265</c:v>
                </c:pt>
                <c:pt idx="1">
                  <c:v>280</c:v>
                </c:pt>
                <c:pt idx="2">
                  <c:v>295</c:v>
                </c:pt>
              </c:numCache>
            </c:numRef>
          </c:xVal>
          <c:yVal>
            <c:numRef>
              <c:f>'Test Lactato'!$C$3:$C$17</c:f>
              <c:numCache>
                <c:formatCode>General</c:formatCode>
                <c:ptCount val="15"/>
                <c:pt idx="0">
                  <c:v>3.1</c:v>
                </c:pt>
                <c:pt idx="1">
                  <c:v>3.7</c:v>
                </c:pt>
                <c:pt idx="2">
                  <c:v>4.6</c:v>
                </c:pt>
              </c:numCache>
            </c:numRef>
          </c:yVal>
          <c:smooth val="0"/>
        </c:ser>
        <c:ser>
          <c:idx val="2"/>
          <c:order val="2"/>
          <c:spPr>
            <a:ln w="31750" cap="rnd">
              <a:solidFill>
                <a:srgbClr val="00B050"/>
              </a:solidFill>
              <a:prstDash val="dash"/>
              <a:round/>
            </a:ln>
            <a:effectLst/>
          </c:spPr>
          <c:marker>
            <c:symbol val="none"/>
          </c:marker>
          <c:dLbls>
            <c:delete val="1"/>
          </c:dLbls>
          <c:smooth val="0"/>
        </c:ser>
        <c:ser>
          <c:idx val="3"/>
          <c:order val="3"/>
          <c:spPr>
            <a:ln w="31750" cap="rnd">
              <a:solidFill>
                <a:srgbClr val="00B050"/>
              </a:solidFill>
              <a:prstDash val="dash"/>
              <a:round/>
            </a:ln>
            <a:effectLst/>
          </c:spPr>
          <c:marker>
            <c:symbol val="none"/>
          </c:marker>
          <c:dLbls>
            <c:delete val="1"/>
          </c:dLbls>
          <c:smooth val="0"/>
        </c:ser>
        <c:dLbls>
          <c:showLegendKey val="0"/>
          <c:showVal val="0"/>
          <c:showCatName val="0"/>
          <c:showSerName val="0"/>
          <c:showPercent val="0"/>
          <c:showBubbleSize val="0"/>
        </c:dLbls>
        <c:axId val="761461984"/>
        <c:axId val="761863104"/>
      </c:scatterChart>
      <c:scatterChart>
        <c:scatterStyle val="marker"/>
        <c:varyColors val="0"/>
        <c:ser>
          <c:idx val="1"/>
          <c:order val="0"/>
          <c:tx>
            <c:strRef>
              <c:f>"Frecuencia Cardiaca"</c:f>
              <c:strCache>
                <c:ptCount val="1"/>
                <c:pt idx="0">
                  <c:v>Frecuencia Cardiaca</c:v>
                </c:pt>
              </c:strCache>
            </c:strRef>
          </c:tx>
          <c:spPr>
            <a:ln w="31750" cap="rnd">
              <a:noFill/>
              <a:round/>
            </a:ln>
            <a:effectLst/>
          </c:spPr>
          <c:marker>
            <c:symbol val="circle"/>
            <c:size val="5"/>
            <c:spPr>
              <a:solidFill>
                <a:srgbClr val="FF0000"/>
              </a:solidFill>
              <a:ln w="57150">
                <a:solidFill>
                  <a:srgbClr val="FF0000"/>
                </a:solidFill>
              </a:ln>
              <a:effectLst/>
            </c:spPr>
          </c:marker>
          <c:dLbls>
            <c:delete val="1"/>
          </c:dLbls>
          <c:trendline>
            <c:spPr>
              <a:ln w="19050" cap="rnd">
                <a:noFill/>
                <a:prstDash val="sysDot"/>
              </a:ln>
              <a:effectLst/>
            </c:spPr>
            <c:trendlineType val="linear"/>
            <c:dispRSqr val="0"/>
            <c:dispEq val="0"/>
          </c:trendline>
          <c:trendline>
            <c:spPr>
              <a:ln w="19050" cap="rnd">
                <a:solidFill>
                  <a:schemeClr val="accent2"/>
                </a:solidFill>
                <a:prstDash val="sysDot"/>
              </a:ln>
              <a:effectLst/>
            </c:spPr>
            <c:trendlineType val="linear"/>
            <c:dispRSqr val="0"/>
            <c:dispEq val="0"/>
          </c:trendline>
          <c:xVal>
            <c:numRef>
              <c:f>'Test Lactato'!$B$3:$B$17</c:f>
              <c:numCache>
                <c:formatCode>General</c:formatCode>
                <c:ptCount val="15"/>
                <c:pt idx="0">
                  <c:v>265</c:v>
                </c:pt>
                <c:pt idx="1">
                  <c:v>280</c:v>
                </c:pt>
                <c:pt idx="2">
                  <c:v>295</c:v>
                </c:pt>
              </c:numCache>
            </c:numRef>
          </c:xVal>
          <c:yVal>
            <c:numRef>
              <c:f>'Test Lactato'!$D$3:$D$17</c:f>
              <c:numCache>
                <c:formatCode>General</c:formatCode>
                <c:ptCount val="15"/>
                <c:pt idx="0">
                  <c:v>144</c:v>
                </c:pt>
                <c:pt idx="1">
                  <c:v>153</c:v>
                </c:pt>
                <c:pt idx="2">
                  <c:v>159</c:v>
                </c:pt>
              </c:numCache>
            </c:numRef>
          </c:yVal>
          <c:smooth val="0"/>
        </c:ser>
        <c:dLbls>
          <c:showLegendKey val="0"/>
          <c:showVal val="0"/>
          <c:showCatName val="0"/>
          <c:showSerName val="0"/>
          <c:showPercent val="0"/>
          <c:showBubbleSize val="0"/>
        </c:dLbls>
        <c:axId val="758970304"/>
        <c:axId val="751183808"/>
      </c:scatterChart>
      <c:valAx>
        <c:axId val="761461984"/>
        <c:scaling>
          <c:orientation val="minMax"/>
          <c:max val="380"/>
          <c:min val="60"/>
        </c:scaling>
        <c:delete val="0"/>
        <c:axPos val="b"/>
        <c:numFmt formatCode="General" sourceLinked="1"/>
        <c:majorTickMark val="out"/>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lang="es-ES" sz="2000" b="1" i="0" u="none" strike="noStrike" kern="1200" baseline="0">
                <a:solidFill>
                  <a:schemeClr val="tx1">
                    <a:lumMod val="65000"/>
                    <a:lumOff val="35000"/>
                  </a:schemeClr>
                </a:solidFill>
                <a:latin typeface="+mn-lt"/>
                <a:ea typeface="+mn-ea"/>
                <a:cs typeface="+mn-cs"/>
              </a:defRPr>
            </a:pPr>
          </a:p>
        </c:txPr>
        <c:crossAx val="761863104"/>
        <c:crosses val="autoZero"/>
        <c:crossBetween val="midCat"/>
        <c:majorUnit val="20"/>
      </c:valAx>
      <c:valAx>
        <c:axId val="761863104"/>
        <c:scaling>
          <c:orientation val="minMax"/>
        </c:scaling>
        <c:delete val="0"/>
        <c:axPos val="l"/>
        <c:title>
          <c:tx>
            <c:rich>
              <a:bodyPr rot="-5400000" spcFirstLastPara="1" vertOverflow="ellipsis" vert="horz" wrap="square" anchor="ctr" anchorCtr="1"/>
              <a:lstStyle/>
              <a:p>
                <a:pPr>
                  <a:defRPr lang="es-ES" sz="2000" b="1" i="0" u="none" strike="noStrike" kern="1200" baseline="0">
                    <a:solidFill>
                      <a:schemeClr val="tx1">
                        <a:lumMod val="65000"/>
                        <a:lumOff val="35000"/>
                      </a:schemeClr>
                    </a:solidFill>
                    <a:latin typeface="+mn-lt"/>
                    <a:ea typeface="+mn-ea"/>
                    <a:cs typeface="+mn-cs"/>
                  </a:defRPr>
                </a:pPr>
                <a:r>
                  <a:rPr lang="es-ES_tradnl" sz="2000" b="1"/>
                  <a:t>LACTATO</a:t>
                </a:r>
                <a:endParaRPr lang="es-ES_tradnl" sz="2000" b="1"/>
              </a:p>
            </c:rich>
          </c:tx>
          <c:layout/>
          <c:overlay val="0"/>
          <c:spPr>
            <a:noFill/>
            <a:ln>
              <a:noFill/>
            </a:ln>
            <a:effectLst/>
          </c:spPr>
        </c:title>
        <c:numFmt formatCode="General" sourceLinked="0"/>
        <c:majorTickMark val="out"/>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lang="es-ES" sz="1600" b="1" i="0" u="none" strike="noStrike" kern="1200" baseline="0">
                <a:solidFill>
                  <a:schemeClr val="tx1">
                    <a:lumMod val="65000"/>
                    <a:lumOff val="35000"/>
                  </a:schemeClr>
                </a:solidFill>
                <a:latin typeface="+mn-lt"/>
                <a:ea typeface="+mn-ea"/>
                <a:cs typeface="+mn-cs"/>
              </a:defRPr>
            </a:pPr>
          </a:p>
        </c:txPr>
        <c:crossAx val="761461984"/>
        <c:crosses val="autoZero"/>
        <c:crossBetween val="midCat"/>
      </c:valAx>
      <c:valAx>
        <c:axId val="758970304"/>
        <c:scaling>
          <c:orientation val="minMax"/>
        </c:scaling>
        <c:delete val="1"/>
        <c:axPos val="b"/>
        <c:numFmt formatCode="General" sourceLinked="1"/>
        <c:majorTickMark val="out"/>
        <c:minorTickMark val="none"/>
        <c:tickLblPos val="nextTo"/>
        <c:txPr>
          <a:bodyPr rot="-60000000" spcFirstLastPara="0"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p>
        </c:txPr>
        <c:crossAx val="751183808"/>
        <c:crosses val="autoZero"/>
        <c:crossBetween val="midCat"/>
      </c:valAx>
      <c:valAx>
        <c:axId val="751183808"/>
        <c:scaling>
          <c:orientation val="minMax"/>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ES" sz="2000" b="1" i="0" u="none" strike="noStrike" kern="1200" baseline="0">
                    <a:solidFill>
                      <a:schemeClr val="tx1">
                        <a:lumMod val="65000"/>
                        <a:lumOff val="35000"/>
                      </a:schemeClr>
                    </a:solidFill>
                    <a:latin typeface="+mn-lt"/>
                    <a:ea typeface="+mn-ea"/>
                    <a:cs typeface="+mn-cs"/>
                  </a:defRPr>
                </a:pPr>
                <a:r>
                  <a:rPr lang="es-ES_tradnl" sz="2000" b="1"/>
                  <a:t>TFRECUENCIA CARDIACA</a:t>
                </a:r>
                <a:endParaRPr lang="es-ES_tradnl" sz="2000" b="1"/>
              </a:p>
            </c:rich>
          </c:tx>
          <c:layout>
            <c:manualLayout>
              <c:xMode val="edge"/>
              <c:yMode val="edge"/>
              <c:x val="0.923822040851118"/>
              <c:y val="0.243387894346905"/>
            </c:manualLayout>
          </c:layout>
          <c:overlay val="0"/>
          <c:spPr>
            <a:noFill/>
            <a:ln>
              <a:noFill/>
            </a:ln>
            <a:effectLst/>
          </c:spPr>
        </c:title>
        <c:numFmt formatCode="General" sourceLinked="1"/>
        <c:majorTickMark val="out"/>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lang="es-ES" sz="1600" b="1" i="0" u="none" strike="noStrike" kern="1200" baseline="0">
                <a:solidFill>
                  <a:schemeClr val="tx1">
                    <a:lumMod val="65000"/>
                    <a:lumOff val="35000"/>
                  </a:schemeClr>
                </a:solidFill>
                <a:latin typeface="+mn-lt"/>
                <a:ea typeface="+mn-ea"/>
                <a:cs typeface="+mn-cs"/>
              </a:defRPr>
            </a:pPr>
          </a:p>
        </c:txPr>
        <c:crossAx val="758970304"/>
        <c:crosses val="max"/>
        <c:crossBetween val="midCat"/>
      </c:valAx>
      <c:spPr>
        <a:solidFill>
          <a:schemeClr val="bg1"/>
        </a:solidFill>
        <a:ln w="15875">
          <a:solidFill>
            <a:schemeClr val="accent4">
              <a:lumMod val="50000"/>
            </a:schemeClr>
          </a:solidFill>
        </a:ln>
        <a:effectLst/>
      </c:spPr>
    </c:plotArea>
    <c:legend>
      <c:legendPos val="tr"/>
      <c:legendEntry>
        <c:idx val="1"/>
        <c:delete val="1"/>
      </c:legendEntry>
      <c:legendEntry>
        <c:idx val="2"/>
        <c:delete val="1"/>
      </c:legendEntry>
      <c:legendEntry>
        <c:idx val="4"/>
        <c:delete val="1"/>
      </c:legendEntry>
      <c:legendEntry>
        <c:idx val="5"/>
        <c:delete val="1"/>
      </c:legendEntry>
      <c:layout>
        <c:manualLayout>
          <c:xMode val="edge"/>
          <c:yMode val="edge"/>
          <c:x val="0.161170447401788"/>
          <c:y val="0.0593047034764826"/>
          <c:w val="0.262977528688481"/>
          <c:h val="0.067849204845018"/>
        </c:manualLayout>
      </c:layout>
      <c:overlay val="0"/>
      <c:spPr>
        <a:noFill/>
        <a:ln>
          <a:noFill/>
        </a:ln>
        <a:effectLst/>
      </c:spPr>
      <c:txPr>
        <a:bodyPr rot="0" spcFirstLastPara="1" vertOverflow="ellipsis" vert="horz" wrap="square" anchor="ctr" anchorCtr="1"/>
        <a:lstStyle/>
        <a:p>
          <a:pPr>
            <a:defRPr lang="es-ES" sz="1200" b="1" i="0" u="none" strike="noStrike" kern="1200" baseline="0">
              <a:solidFill>
                <a:schemeClr val="tx1">
                  <a:lumMod val="65000"/>
                  <a:lumOff val="35000"/>
                </a:schemeClr>
              </a:solidFill>
              <a:latin typeface="+mn-lt"/>
              <a:ea typeface="+mn-ea"/>
              <a:cs typeface="+mn-cs"/>
            </a:defRPr>
          </a:pPr>
        </a:p>
      </c:txPr>
    </c:legend>
    <c:plotVisOnly val="1"/>
    <c:dispBlanksAs val="gap"/>
    <c:showDLblsOverMax val="0"/>
    <c:extLst>
      <c:ext uri="{0b15fc19-7d7d-44ad-8c2d-2c3a37ce22c3}">
        <chartProps xmlns="https://web.wps.cn/et/2018/main" chartId="{60dffe19-e970-4d55-80c5-30464ee952d3}"/>
      </c:ext>
    </c:extLst>
  </c:chart>
  <c:spPr>
    <a:solidFill>
      <a:schemeClr val="accent4">
        <a:lumMod val="20000"/>
        <a:lumOff val="80000"/>
      </a:schemeClr>
    </a:solidFill>
    <a:ln w="9525" cap="flat" cmpd="sng" algn="ctr">
      <a:solidFill>
        <a:schemeClr val="tx1">
          <a:lumMod val="15000"/>
          <a:lumOff val="85000"/>
        </a:schemeClr>
      </a:solidFill>
      <a:round/>
    </a:ln>
    <a:effectLst/>
  </c:spPr>
  <c:txPr>
    <a:bodyPr/>
    <a:lstStyle/>
    <a:p>
      <a:pPr>
        <a:defRPr lang="es-ES"/>
      </a:pP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13"/>
    </mc:Choice>
    <mc:Fallback>
      <c:style val="13"/>
    </mc:Fallback>
  </mc:AlternateContent>
  <c:chart>
    <c:title>
      <c:tx>
        <c:rich>
          <a:bodyPr rot="0" spcFirstLastPara="0" vertOverflow="ellipsis" vert="horz" wrap="square" anchor="ctr" anchorCtr="1"/>
          <a:lstStyle/>
          <a:p>
            <a:pPr>
              <a:defRPr lang="es-ES" sz="1800" b="1" i="0" u="none" strike="noStrike" kern="1200" baseline="0">
                <a:solidFill>
                  <a:schemeClr val="tx1"/>
                </a:solidFill>
                <a:latin typeface="+mn-lt"/>
                <a:ea typeface="+mn-ea"/>
                <a:cs typeface="+mn-cs"/>
              </a:defRPr>
            </a:pPr>
            <a:r>
              <a:t>Curva de Lactato Sanguíneo</a:t>
            </a:r>
          </a:p>
        </c:rich>
      </c:tx>
      <c:layout/>
      <c:overlay val="0"/>
    </c:title>
    <c:autoTitleDeleted val="0"/>
    <c:plotArea>
      <c:layout/>
      <c:lineChart>
        <c:grouping val="standard"/>
        <c:varyColors val="0"/>
        <c:ser>
          <c:idx val="0"/>
          <c:order val="0"/>
          <c:tx>
            <c:strRef>
              <c:f>'Test Lactato y Zonas'!$C$9</c:f>
              <c:strCache>
                <c:ptCount val="1"/>
                <c:pt idx="0">
                  <c:v>Lactato (mmol/L)</c:v>
                </c:pt>
              </c:strCache>
            </c:strRef>
          </c:tx>
          <c:spPr>
            <a:ln w="30000" cap="rnd" cmpd="sng" algn="ctr">
              <a:solidFill>
                <a:srgbClr val="EF4444"/>
              </a:solidFill>
              <a:prstDash val="solid"/>
              <a:round/>
            </a:ln>
          </c:spPr>
          <c:marker>
            <c:symbol val="none"/>
          </c:marker>
          <c:dLbls>
            <c:delete val="1"/>
          </c:dLbls>
          <c:trendline>
            <c:trendlineType val="exp"/>
            <c:dispRSqr val="0"/>
            <c:dispEq val="0"/>
          </c:trendline>
          <c:cat>
            <c:numRef>
              <c:f>'Test Lactato y Zonas'!$B$10:$B$18</c:f>
              <c:numCache>
                <c:formatCode>#,##0.00_ </c:formatCode>
                <c:ptCount val="9"/>
                <c:pt idx="0" c:formatCode="#,##0.00_ ">
                  <c:v>166</c:v>
                </c:pt>
                <c:pt idx="1" c:formatCode="#,##0.00_ ">
                  <c:v>175</c:v>
                </c:pt>
                <c:pt idx="2" c:formatCode="#,##0.00_ ">
                  <c:v>187</c:v>
                </c:pt>
                <c:pt idx="3" c:formatCode="#,##0.00_ ">
                  <c:v>207</c:v>
                </c:pt>
                <c:pt idx="4" c:formatCode="#,##0.00_ ">
                  <c:v>222</c:v>
                </c:pt>
                <c:pt idx="5" c:formatCode="#,##0.00_ ">
                  <c:v>244</c:v>
                </c:pt>
                <c:pt idx="6" c:formatCode="#,##0.00_ ">
                  <c:v>278</c:v>
                </c:pt>
                <c:pt idx="7" c:formatCode="#,##0.00_ ">
                  <c:v>310</c:v>
                </c:pt>
                <c:pt idx="8" c:formatCode="#,##0.00_ ">
                  <c:v>350</c:v>
                </c:pt>
              </c:numCache>
            </c:numRef>
          </c:cat>
          <c:val>
            <c:numRef>
              <c:f>'Test Lactato y Zonas'!$C$10:$C$18</c:f>
              <c:numCache>
                <c:formatCode>0.0</c:formatCode>
                <c:ptCount val="9"/>
                <c:pt idx="0">
                  <c:v>1.2</c:v>
                </c:pt>
                <c:pt idx="1">
                  <c:v>1.2</c:v>
                </c:pt>
                <c:pt idx="2">
                  <c:v>1.3</c:v>
                </c:pt>
                <c:pt idx="3">
                  <c:v>2.2</c:v>
                </c:pt>
                <c:pt idx="4">
                  <c:v>2.8</c:v>
                </c:pt>
                <c:pt idx="5">
                  <c:v>4</c:v>
                </c:pt>
                <c:pt idx="6">
                  <c:v>8</c:v>
                </c:pt>
                <c:pt idx="7">
                  <c:v>9</c:v>
                </c:pt>
                <c:pt idx="8">
                  <c:v>12</c:v>
                </c:pt>
              </c:numCache>
            </c:numRef>
          </c:val>
          <c:smooth val="1"/>
        </c:ser>
        <c:dLbls>
          <c:showLegendKey val="0"/>
          <c:showVal val="0"/>
          <c:showCatName val="0"/>
          <c:showSerName val="0"/>
          <c:showPercent val="0"/>
          <c:showBubbleSize val="0"/>
        </c:dLbls>
        <c:marker val="0"/>
        <c:smooth val="1"/>
        <c:axId val="10"/>
        <c:axId val="100"/>
      </c:lineChart>
      <c:catAx>
        <c:axId val="10"/>
        <c:scaling>
          <c:orientation val="minMax"/>
        </c:scaling>
        <c:delete val="0"/>
        <c:axPos val="b"/>
        <c:title>
          <c:tx>
            <c:rich>
              <a:bodyPr rot="0" spcFirstLastPara="0" vertOverflow="ellipsis" vert="horz" wrap="square" anchor="ctr" anchorCtr="1"/>
              <a:lstStyle/>
              <a:p>
                <a:pPr>
                  <a:defRPr lang="es-ES" sz="1000" b="1" i="0" u="none" strike="noStrike" kern="1200" baseline="0">
                    <a:solidFill>
                      <a:schemeClr val="tx1"/>
                    </a:solidFill>
                    <a:latin typeface="+mn-lt"/>
                    <a:ea typeface="+mn-ea"/>
                    <a:cs typeface="+mn-cs"/>
                  </a:defRPr>
                </a:pPr>
                <a:r>
                  <a:t>Potencia (Watts)</a:t>
                </a:r>
              </a:p>
            </c:rich>
          </c:tx>
          <c:layout/>
          <c:overlay val="0"/>
        </c:title>
        <c:majorTickMark val="none"/>
        <c:minorTickMark val="none"/>
        <c:tickLblPos val="nextTo"/>
        <c:txPr>
          <a:bodyPr rot="-60000000" spcFirstLastPara="0" vertOverflow="ellipsis" vert="horz" wrap="square" anchor="ctr" anchorCtr="1"/>
          <a:lstStyle/>
          <a:p>
            <a:pPr>
              <a:defRPr lang="es-ES" sz="1000" b="0" i="0" u="none" strike="noStrike" kern="1200" baseline="0">
                <a:solidFill>
                  <a:schemeClr val="tx1"/>
                </a:solidFill>
                <a:latin typeface="+mn-lt"/>
                <a:ea typeface="+mn-ea"/>
                <a:cs typeface="+mn-cs"/>
              </a:defRPr>
            </a:pPr>
          </a:p>
        </c:txPr>
        <c:crossAx val="100"/>
        <c:crosses val="autoZero"/>
        <c:auto val="0"/>
        <c:lblAlgn val="ctr"/>
        <c:lblOffset val="100"/>
        <c:noMultiLvlLbl val="0"/>
      </c:catAx>
      <c:valAx>
        <c:axId val="100"/>
        <c:scaling>
          <c:orientation val="minMax"/>
        </c:scaling>
        <c:delete val="0"/>
        <c:axPos val="l"/>
        <c:majorGridlines/>
        <c:title>
          <c:tx>
            <c:rich>
              <a:bodyPr rot="-5400000" spcFirstLastPara="0" vertOverflow="ellipsis" vert="horz" wrap="square" anchor="ctr" anchorCtr="1"/>
              <a:lstStyle/>
              <a:p>
                <a:pPr>
                  <a:defRPr lang="es-ES" sz="1000" b="1" i="0" u="none" strike="noStrike" kern="1200" baseline="0">
                    <a:solidFill>
                      <a:schemeClr val="tx1"/>
                    </a:solidFill>
                    <a:latin typeface="+mn-lt"/>
                    <a:ea typeface="+mn-ea"/>
                    <a:cs typeface="+mn-cs"/>
                  </a:defRPr>
                </a:pPr>
                <a:r>
                  <a:t>Lactato (mmol/L)</a:t>
                </a:r>
              </a:p>
            </c:rich>
          </c:tx>
          <c:layout/>
          <c:overlay val="0"/>
        </c:title>
        <c:numFmt formatCode="0.0" sourceLinked="1"/>
        <c:majorTickMark val="none"/>
        <c:minorTickMark val="none"/>
        <c:tickLblPos val="nextTo"/>
        <c:txPr>
          <a:bodyPr rot="-60000000" spcFirstLastPara="0" vertOverflow="ellipsis" vert="horz" wrap="square" anchor="ctr" anchorCtr="1"/>
          <a:lstStyle/>
          <a:p>
            <a:pPr>
              <a:defRPr lang="es-ES" sz="1000" b="0" i="0" u="none" strike="noStrike" kern="1200" baseline="0">
                <a:solidFill>
                  <a:schemeClr val="tx1"/>
                </a:solidFill>
                <a:latin typeface="+mn-lt"/>
                <a:ea typeface="+mn-ea"/>
                <a:cs typeface="+mn-cs"/>
              </a:defRPr>
            </a:pPr>
          </a:p>
        </c:txPr>
        <c:crossAx val="10"/>
        <c:crosses val="autoZero"/>
        <c:crossBetween val="between"/>
      </c:valAx>
    </c:plotArea>
    <c:plotVisOnly val="1"/>
    <c:dispBlanksAs val="gap"/>
    <c:showDLblsOverMax val="0"/>
    <c:extLst>
      <c:ext uri="{0b15fc19-7d7d-44ad-8c2d-2c3a37ce22c3}">
        <chartProps xmlns="https://web.wps.cn/et/2018/main" chartId="{293c4b5f-92d5-417c-8d15-4f5ba6aaddd4}"/>
      </c:ext>
    </c:extLst>
  </c:chart>
  <c:txPr>
    <a:bodyPr/>
    <a:lstStyle/>
    <a:p>
      <a:pPr>
        <a:defRPr lang="es-ES"/>
      </a:pPr>
    </a:p>
  </c:txPr>
  <c:externalData r:id="rId1">
    <c:autoUpdate val="0"/>
  </c:externalData>
</c:chartSpace>
</file>

<file path=xl/charts/chart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13"/>
    </mc:Choice>
    <mc:Fallback>
      <c:style val="13"/>
    </mc:Fallback>
  </mc:AlternateContent>
  <c:chart>
    <c:title>
      <c:tx>
        <c:rich>
          <a:bodyPr rot="0" spcFirstLastPara="0" vertOverflow="ellipsis" vert="horz" wrap="square" anchor="ctr" anchorCtr="1"/>
          <a:lstStyle/>
          <a:p>
            <a:pPr>
              <a:defRPr lang="es-ES" sz="1800" b="1" i="0" u="none" strike="noStrike" kern="1200" baseline="0">
                <a:solidFill>
                  <a:schemeClr val="tx1"/>
                </a:solidFill>
                <a:latin typeface="+mn-lt"/>
                <a:ea typeface="+mn-ea"/>
                <a:cs typeface="+mn-cs"/>
              </a:defRPr>
            </a:pPr>
            <a:r>
              <a:t>Respuesta de la Frecuencia Cardíaca</a:t>
            </a:r>
          </a:p>
        </c:rich>
      </c:tx>
      <c:layout/>
      <c:overlay val="0"/>
    </c:title>
    <c:autoTitleDeleted val="0"/>
    <c:plotArea>
      <c:layout/>
      <c:lineChart>
        <c:grouping val="standard"/>
        <c:varyColors val="0"/>
        <c:ser>
          <c:idx val="0"/>
          <c:order val="0"/>
          <c:tx>
            <c:strRef>
              <c:f>'Test Lactato y Zonas'!$D$9</c:f>
              <c:strCache>
                <c:ptCount val="1"/>
                <c:pt idx="0">
                  <c:v>FC (ppm)</c:v>
                </c:pt>
              </c:strCache>
            </c:strRef>
          </c:tx>
          <c:spPr>
            <a:ln w="30000" cap="rnd" cmpd="sng" algn="ctr">
              <a:solidFill>
                <a:srgbClr val="1E3A8A"/>
              </a:solidFill>
              <a:prstDash val="solid"/>
              <a:round/>
            </a:ln>
          </c:spPr>
          <c:marker>
            <c:symbol val="none"/>
          </c:marker>
          <c:dLbls>
            <c:delete val="1"/>
          </c:dLbls>
          <c:trendline>
            <c:trendlineType val="linear"/>
            <c:dispRSqr val="0"/>
            <c:dispEq val="0"/>
          </c:trendline>
          <c:cat>
            <c:numRef>
              <c:f>'Test Lactato y Zonas'!$B$10:$B$18</c:f>
              <c:numCache>
                <c:formatCode>#,##0.00_ </c:formatCode>
                <c:ptCount val="9"/>
                <c:pt idx="0" c:formatCode="#,##0.00_ ">
                  <c:v>166</c:v>
                </c:pt>
                <c:pt idx="1" c:formatCode="#,##0.00_ ">
                  <c:v>175</c:v>
                </c:pt>
                <c:pt idx="2" c:formatCode="#,##0.00_ ">
                  <c:v>187</c:v>
                </c:pt>
                <c:pt idx="3" c:formatCode="#,##0.00_ ">
                  <c:v>207</c:v>
                </c:pt>
                <c:pt idx="4" c:formatCode="#,##0.00_ ">
                  <c:v>222</c:v>
                </c:pt>
                <c:pt idx="5" c:formatCode="#,##0.00_ ">
                  <c:v>244</c:v>
                </c:pt>
                <c:pt idx="6" c:formatCode="#,##0.00_ ">
                  <c:v>278</c:v>
                </c:pt>
                <c:pt idx="7" c:formatCode="#,##0.00_ ">
                  <c:v>310</c:v>
                </c:pt>
                <c:pt idx="8" c:formatCode="#,##0.00_ ">
                  <c:v>350</c:v>
                </c:pt>
              </c:numCache>
            </c:numRef>
          </c:cat>
          <c:val>
            <c:numRef>
              <c:f>'Test Lactato y Zonas'!$D$10:$D$18</c:f>
              <c:numCache>
                <c:formatCode>#,##0</c:formatCode>
                <c:ptCount val="9"/>
                <c:pt idx="0">
                  <c:v>118</c:v>
                </c:pt>
                <c:pt idx="1">
                  <c:v>124</c:v>
                </c:pt>
                <c:pt idx="2">
                  <c:v>131</c:v>
                </c:pt>
                <c:pt idx="3">
                  <c:v>136</c:v>
                </c:pt>
                <c:pt idx="4">
                  <c:v>141</c:v>
                </c:pt>
                <c:pt idx="5">
                  <c:v>145</c:v>
                </c:pt>
                <c:pt idx="6">
                  <c:v>144</c:v>
                </c:pt>
                <c:pt idx="7">
                  <c:v>153</c:v>
                </c:pt>
                <c:pt idx="8">
                  <c:v>159</c:v>
                </c:pt>
              </c:numCache>
            </c:numRef>
          </c:val>
          <c:smooth val="1"/>
        </c:ser>
        <c:dLbls>
          <c:showLegendKey val="0"/>
          <c:showVal val="0"/>
          <c:showCatName val="0"/>
          <c:showSerName val="0"/>
          <c:showPercent val="0"/>
          <c:showBubbleSize val="0"/>
        </c:dLbls>
        <c:marker val="0"/>
        <c:smooth val="1"/>
        <c:axId val="10"/>
        <c:axId val="100"/>
      </c:lineChart>
      <c:catAx>
        <c:axId val="10"/>
        <c:scaling>
          <c:orientation val="minMax"/>
        </c:scaling>
        <c:delete val="0"/>
        <c:axPos val="b"/>
        <c:title>
          <c:tx>
            <c:rich>
              <a:bodyPr rot="0" spcFirstLastPara="0" vertOverflow="ellipsis" vert="horz" wrap="square" anchor="ctr" anchorCtr="1"/>
              <a:lstStyle/>
              <a:p>
                <a:pPr>
                  <a:defRPr lang="es-ES" sz="1000" b="1" i="0" u="none" strike="noStrike" kern="1200" baseline="0">
                    <a:solidFill>
                      <a:schemeClr val="tx1"/>
                    </a:solidFill>
                    <a:latin typeface="+mn-lt"/>
                    <a:ea typeface="+mn-ea"/>
                    <a:cs typeface="+mn-cs"/>
                  </a:defRPr>
                </a:pPr>
                <a:r>
                  <a:t>Potencia (Watts)</a:t>
                </a:r>
              </a:p>
            </c:rich>
          </c:tx>
          <c:layout/>
          <c:overlay val="0"/>
        </c:title>
        <c:majorTickMark val="none"/>
        <c:minorTickMark val="none"/>
        <c:tickLblPos val="nextTo"/>
        <c:txPr>
          <a:bodyPr rot="-60000000" spcFirstLastPara="0" vertOverflow="ellipsis" vert="horz" wrap="square" anchor="ctr" anchorCtr="1"/>
          <a:lstStyle/>
          <a:p>
            <a:pPr>
              <a:defRPr lang="es-ES" sz="1000" b="0" i="0" u="none" strike="noStrike" kern="1200" baseline="0">
                <a:solidFill>
                  <a:schemeClr val="tx1"/>
                </a:solidFill>
                <a:latin typeface="+mn-lt"/>
                <a:ea typeface="+mn-ea"/>
                <a:cs typeface="+mn-cs"/>
              </a:defRPr>
            </a:pPr>
          </a:p>
        </c:txPr>
        <c:crossAx val="100"/>
        <c:crosses val="autoZero"/>
        <c:auto val="0"/>
        <c:lblAlgn val="ctr"/>
        <c:lblOffset val="100"/>
        <c:noMultiLvlLbl val="0"/>
      </c:catAx>
      <c:valAx>
        <c:axId val="100"/>
        <c:scaling>
          <c:orientation val="minMax"/>
        </c:scaling>
        <c:delete val="0"/>
        <c:axPos val="l"/>
        <c:majorGridlines/>
        <c:title>
          <c:tx>
            <c:rich>
              <a:bodyPr rot="-5400000" spcFirstLastPara="0" vertOverflow="ellipsis" vert="horz" wrap="square" anchor="ctr" anchorCtr="1"/>
              <a:lstStyle/>
              <a:p>
                <a:pPr>
                  <a:defRPr lang="es-ES" sz="1000" b="1" i="0" u="none" strike="noStrike" kern="1200" baseline="0">
                    <a:solidFill>
                      <a:schemeClr val="tx1"/>
                    </a:solidFill>
                    <a:latin typeface="+mn-lt"/>
                    <a:ea typeface="+mn-ea"/>
                    <a:cs typeface="+mn-cs"/>
                  </a:defRPr>
                </a:pPr>
                <a:r>
                  <a:t>Pulsaciones (ppm)</a:t>
                </a:r>
              </a:p>
            </c:rich>
          </c:tx>
          <c:layout/>
          <c:overlay val="0"/>
        </c:title>
        <c:numFmt formatCode="#,##0" sourceLinked="1"/>
        <c:majorTickMark val="none"/>
        <c:minorTickMark val="none"/>
        <c:tickLblPos val="nextTo"/>
        <c:txPr>
          <a:bodyPr rot="-60000000" spcFirstLastPara="0" vertOverflow="ellipsis" vert="horz" wrap="square" anchor="ctr" anchorCtr="1"/>
          <a:lstStyle/>
          <a:p>
            <a:pPr>
              <a:defRPr lang="es-ES" sz="1000" b="0" i="0" u="none" strike="noStrike" kern="1200" baseline="0">
                <a:solidFill>
                  <a:schemeClr val="tx1"/>
                </a:solidFill>
                <a:latin typeface="+mn-lt"/>
                <a:ea typeface="+mn-ea"/>
                <a:cs typeface="+mn-cs"/>
              </a:defRPr>
            </a:pPr>
          </a:p>
        </c:txPr>
        <c:crossAx val="10"/>
        <c:crosses val="autoZero"/>
        <c:crossBetween val="between"/>
      </c:valAx>
    </c:plotArea>
    <c:plotVisOnly val="1"/>
    <c:dispBlanksAs val="gap"/>
    <c:showDLblsOverMax val="0"/>
    <c:extLst>
      <c:ext uri="{0b15fc19-7d7d-44ad-8c2d-2c3a37ce22c3}">
        <chartProps xmlns="https://web.wps.cn/et/2018/main" chartId="{c9375425-e088-4c51-97bb-ab5f3bb542c2}"/>
      </c:ext>
    </c:extLst>
  </c:chart>
  <c:txPr>
    <a:bodyPr/>
    <a:lstStyle/>
    <a:p>
      <a:pPr>
        <a:defRPr lang="es-ES"/>
      </a:pPr>
    </a:p>
  </c:txPr>
  <c:externalData r:id="rId1">
    <c:autoUpdate val="0"/>
  </c:externalData>
</c:chartSpace>
</file>

<file path=xl/charts/chart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defTabSz="914400">
              <a:defRPr lang="es-ES" sz="1400" b="1" i="0" u="none" strike="noStrike" kern="1200" baseline="0">
                <a:solidFill>
                  <a:schemeClr val="tx1">
                    <a:lumMod val="75000"/>
                    <a:lumOff val="25000"/>
                  </a:schemeClr>
                </a:solidFill>
                <a:latin typeface="+mn-lt"/>
                <a:ea typeface="+mn-ea"/>
                <a:cs typeface="+mn-cs"/>
              </a:defRPr>
            </a:pPr>
            <a:r>
              <a:rPr>
                <a:solidFill>
                  <a:schemeClr val="tx1"/>
                </a:solidFill>
              </a:rPr>
              <a:t>Evolución LT1 y LT2</a:t>
            </a:r>
            <a:endParaRPr>
              <a:solidFill>
                <a:schemeClr val="tx1"/>
              </a:solidFill>
            </a:endParaRPr>
          </a:p>
        </c:rich>
      </c:tx>
      <c:layout/>
      <c:overlay val="0"/>
      <c:spPr>
        <a:solidFill>
          <a:srgbClr val="FFD9D9"/>
        </a:solidFill>
        <a:ln>
          <a:noFill/>
        </a:ln>
        <a:effectLst/>
      </c:spPr>
    </c:title>
    <c:autoTitleDeleted val="0"/>
    <c:plotArea>
      <c:layout/>
      <c:barChart>
        <c:barDir val="col"/>
        <c:grouping val="clustered"/>
        <c:varyColors val="0"/>
        <c:dLbls>
          <c:showLegendKey val="0"/>
          <c:showVal val="1"/>
          <c:showCatName val="0"/>
          <c:showSerName val="0"/>
          <c:showPercent val="0"/>
          <c:showBubbleSize val="0"/>
        </c:dLbls>
        <c:gapWidth val="150"/>
        <c:overlap val="0"/>
        <c:axId val="73771905"/>
        <c:axId val="195432771"/>
      </c:barChart>
      <c:barChart>
        <c:barDir val="col"/>
        <c:grouping val="clustered"/>
        <c:varyColors val="0"/>
        <c:ser>
          <c:idx val="2"/>
          <c:order val="2"/>
          <c:tx>
            <c:strRef>
              <c:f>'Test Lactato y Zonas'!$E$34</c:f>
              <c:strCache>
                <c:ptCount val="1"/>
                <c:pt idx="0">
                  <c:v>LT1 W</c:v>
                </c:pt>
              </c:strCache>
            </c:strRef>
          </c:tx>
          <c:spPr>
            <a:solidFill>
              <a:schemeClr val="accent3"/>
            </a:solidFill>
            <a:ln>
              <a:noFill/>
            </a:ln>
            <a:effectLst/>
          </c:spPr>
          <c:invertIfNegative val="0"/>
          <c:dLbls>
            <c:spPr>
              <a:noFill/>
              <a:ln>
                <a:noFill/>
              </a:ln>
              <a:effectLst/>
            </c:spPr>
            <c:txPr>
              <a:bodyPr rot="0" spcFirstLastPara="0" vertOverflow="ellipsis" vert="horz" wrap="square" lIns="38100" tIns="19050" rIns="38100" bIns="19050" anchor="ctr" anchorCtr="1"/>
              <a:lstStyle/>
              <a:p>
                <a:pPr>
                  <a:defRPr lang="es-ES" sz="10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'Test Lactato y Zonas'!$E$35:$E$46</c:f>
              <c:numCache>
                <c:formatCode>General</c:formatCode>
                <c:ptCount val="12"/>
                <c:pt idx="0">
                  <c:v>198</c:v>
                </c:pt>
                <c:pt idx="1">
                  <c:v>199</c:v>
                </c:pt>
                <c:pt idx="2">
                  <c:v>204</c:v>
                </c:pt>
                <c:pt idx="3">
                  <c:v>210</c:v>
                </c:pt>
              </c:numCache>
            </c:numRef>
          </c:val>
        </c:ser>
        <c:ser>
          <c:idx val="3"/>
          <c:order val="3"/>
          <c:tx>
            <c:strRef>
              <c:f>'Test Lactato y Zonas'!$F$34</c:f>
              <c:strCache>
                <c:ptCount val="1"/>
                <c:pt idx="0">
                  <c:v>LT2 w</c:v>
                </c:pt>
              </c:strCache>
            </c:strRef>
          </c:tx>
          <c:spPr>
            <a:solidFill>
              <a:schemeClr val="accent4"/>
            </a:solidFill>
            <a:ln>
              <a:noFill/>
            </a:ln>
            <a:effectLst/>
          </c:spPr>
          <c:invertIfNegative val="0"/>
          <c:dLbls>
            <c:spPr>
              <a:noFill/>
              <a:ln>
                <a:noFill/>
              </a:ln>
              <a:effectLst/>
            </c:spPr>
            <c:txPr>
              <a:bodyPr rot="0" spcFirstLastPara="0" vertOverflow="ellipsis" vert="horz" wrap="square" lIns="38100" tIns="19050" rIns="38100" bIns="19050" anchor="ctr" anchorCtr="1"/>
              <a:lstStyle/>
              <a:p>
                <a:pPr>
                  <a:defRPr lang="es-ES" sz="10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'Test Lactato y Zonas'!$B$35:$B$46</c:f>
              <c:numCache>
                <c:formatCode>dd/mm/yyyy</c:formatCode>
                <c:ptCount val="12"/>
                <c:pt idx="0" c:formatCode="dd/mm/yyyy">
                  <c:v>45690</c:v>
                </c:pt>
                <c:pt idx="1" c:formatCode="dd/mm/yyyy">
                  <c:v>45750</c:v>
                </c:pt>
                <c:pt idx="2" c:formatCode="dd/mm/yyyy">
                  <c:v>45845</c:v>
                </c:pt>
                <c:pt idx="3" c:formatCode="dd/mm/yyyy">
                  <c:v>45901</c:v>
                </c:pt>
              </c:numCache>
            </c:numRef>
          </c:cat>
          <c:val>
            <c:numRef>
              <c:f>'Test Lactato y Zonas'!$F$35:$F$46</c:f>
              <c:numCache>
                <c:formatCode>General</c:formatCode>
                <c:ptCount val="12"/>
                <c:pt idx="0">
                  <c:v>245</c:v>
                </c:pt>
                <c:pt idx="1">
                  <c:v>255</c:v>
                </c:pt>
                <c:pt idx="2">
                  <c:v>262</c:v>
                </c:pt>
                <c:pt idx="3">
                  <c:v>277</c:v>
                </c:pt>
              </c:numCache>
            </c:numRef>
          </c:val>
        </c:ser>
        <c:dLbls>
          <c:showLegendKey val="0"/>
          <c:showVal val="1"/>
          <c:showCatName val="0"/>
          <c:showSerName val="0"/>
          <c:showPercent val="0"/>
          <c:showBubbleSize val="0"/>
        </c:dLbls>
        <c:gapWidth val="150"/>
        <c:overlap val="0"/>
        <c:axId val="119148494"/>
        <c:axId val="653453666"/>
      </c:barChart>
      <c:lineChart>
        <c:grouping val="standard"/>
        <c:varyColors val="0"/>
        <c:ser>
          <c:idx val="0"/>
          <c:order val="0"/>
          <c:tx>
            <c:strRef>
              <c:f>'Test Lactato y Zonas'!$C$34</c:f>
              <c:strCache>
                <c:ptCount val="1"/>
                <c:pt idx="0">
                  <c:v>LT1 Pulso</c:v>
                </c:pt>
              </c:strCache>
            </c:strRef>
          </c:tx>
          <c:spPr>
            <a:ln w="28575" cap="rnd">
              <a:solidFill>
                <a:schemeClr val="accent1"/>
              </a:solidFill>
              <a:round/>
            </a:ln>
            <a:effectLst/>
          </c:spPr>
          <c:marker>
            <c:symbol val="none"/>
          </c:marker>
          <c:dLbls>
            <c:spPr>
              <a:noFill/>
              <a:ln>
                <a:noFill/>
              </a:ln>
              <a:effectLst/>
            </c:spPr>
            <c:txPr>
              <a:bodyPr rot="0" spcFirstLastPara="0" vertOverflow="ellipsis" vert="horz" wrap="square" lIns="38100" tIns="19050" rIns="38100" bIns="19050" anchor="ctr" anchorCtr="1"/>
              <a:lstStyle/>
              <a:p>
                <a:pPr>
                  <a:defRPr lang="es-ES" sz="1000" b="0" i="0" u="none" strike="noStrike" kern="1200" baseline="0">
                    <a:solidFill>
                      <a:schemeClr val="tx1">
                        <a:lumMod val="75000"/>
                        <a:lumOff val="25000"/>
                      </a:schemeClr>
                    </a:solidFill>
                    <a:latin typeface="+mn-lt"/>
                    <a:ea typeface="+mn-ea"/>
                    <a:cs typeface="+mn-cs"/>
                  </a:defRPr>
                </a:pPr>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'Test Lactato y Zonas'!$B$35:$B$46</c:f>
              <c:numCache>
                <c:formatCode>dd/mm/yyyy</c:formatCode>
                <c:ptCount val="12"/>
                <c:pt idx="0" c:formatCode="dd/mm/yyyy">
                  <c:v>45690</c:v>
                </c:pt>
                <c:pt idx="1" c:formatCode="dd/mm/yyyy">
                  <c:v>45750</c:v>
                </c:pt>
                <c:pt idx="2" c:formatCode="dd/mm/yyyy">
                  <c:v>45845</c:v>
                </c:pt>
                <c:pt idx="3" c:formatCode="dd/mm/yyyy">
                  <c:v>45901</c:v>
                </c:pt>
              </c:numCache>
            </c:numRef>
          </c:cat>
          <c:val>
            <c:numRef>
              <c:f>'Test Lactato y Zonas'!$C$35:$C$46</c:f>
              <c:numCache>
                <c:formatCode>General</c:formatCode>
                <c:ptCount val="12"/>
                <c:pt idx="0">
                  <c:v>134</c:v>
                </c:pt>
                <c:pt idx="1">
                  <c:v>136</c:v>
                </c:pt>
                <c:pt idx="2">
                  <c:v>135</c:v>
                </c:pt>
                <c:pt idx="3">
                  <c:v>139</c:v>
                </c:pt>
              </c:numCache>
            </c:numRef>
          </c:val>
          <c:smooth val="0"/>
        </c:ser>
        <c:ser>
          <c:idx val="1"/>
          <c:order val="1"/>
          <c:tx>
            <c:strRef>
              <c:f>'Test Lactato y Zonas'!$D$34</c:f>
              <c:strCache>
                <c:ptCount val="1"/>
                <c:pt idx="0">
                  <c:v>LT2 Pulso</c:v>
                </c:pt>
              </c:strCache>
            </c:strRef>
          </c:tx>
          <c:spPr>
            <a:ln w="28575" cap="rnd">
              <a:solidFill>
                <a:schemeClr val="accent2"/>
              </a:solidFill>
              <a:round/>
            </a:ln>
            <a:effectLst/>
          </c:spPr>
          <c:marker>
            <c:symbol val="none"/>
          </c:marker>
          <c:dLbls>
            <c:spPr>
              <a:noFill/>
              <a:ln>
                <a:noFill/>
              </a:ln>
              <a:effectLst/>
            </c:spPr>
            <c:txPr>
              <a:bodyPr rot="0" spcFirstLastPara="0" vertOverflow="ellipsis" vert="horz" wrap="square" lIns="38100" tIns="19050" rIns="38100" bIns="19050" anchor="ctr" anchorCtr="1"/>
              <a:lstStyle/>
              <a:p>
                <a:pPr>
                  <a:defRPr lang="es-ES" sz="1000" b="0" i="0" u="none" strike="noStrike" kern="1200" baseline="0">
                    <a:solidFill>
                      <a:schemeClr val="tx1">
                        <a:lumMod val="75000"/>
                        <a:lumOff val="25000"/>
                      </a:schemeClr>
                    </a:solidFill>
                    <a:latin typeface="+mn-lt"/>
                    <a:ea typeface="+mn-ea"/>
                    <a:cs typeface="+mn-cs"/>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'Test Lactato y Zonas'!$D$35:$D$46</c:f>
              <c:numCache>
                <c:formatCode>General</c:formatCode>
                <c:ptCount val="12"/>
                <c:pt idx="0">
                  <c:v>166</c:v>
                </c:pt>
                <c:pt idx="1">
                  <c:v>168</c:v>
                </c:pt>
                <c:pt idx="2">
                  <c:v>171</c:v>
                </c:pt>
                <c:pt idx="3">
                  <c:v>173</c:v>
                </c:pt>
              </c:numCache>
            </c:numRef>
          </c:val>
          <c:smooth val="0"/>
        </c:ser>
        <c:dLbls>
          <c:showLegendKey val="0"/>
          <c:showVal val="1"/>
          <c:showCatName val="0"/>
          <c:showSerName val="0"/>
          <c:showPercent val="0"/>
          <c:showBubbleSize val="0"/>
        </c:dLbls>
        <c:marker val="0"/>
        <c:smooth val="0"/>
        <c:axId val="73771905"/>
        <c:axId val="195432771"/>
      </c:lineChart>
      <c:lineChart>
        <c:grouping val="standard"/>
        <c:varyColors val="0"/>
        <c:dLbls>
          <c:showLegendKey val="0"/>
          <c:showVal val="1"/>
          <c:showCatName val="0"/>
          <c:showSerName val="0"/>
          <c:showPercent val="0"/>
          <c:showBubbleSize val="0"/>
        </c:dLbls>
        <c:marker val="0"/>
        <c:smooth val="0"/>
        <c:axId val="119148494"/>
        <c:axId val="653453666"/>
      </c:lineChart>
      <c:dateAx>
        <c:axId val="73771905"/>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forceAA="0"/>
          <a:lstStyle/>
          <a:p>
            <a:pPr>
              <a:defRPr lang="es-ES" sz="900" b="0" i="0" u="none" strike="noStrike" kern="1200" baseline="0">
                <a:solidFill>
                  <a:schemeClr val="tx1">
                    <a:lumMod val="65000"/>
                    <a:lumOff val="35000"/>
                  </a:schemeClr>
                </a:solidFill>
                <a:latin typeface="+mn-lt"/>
                <a:ea typeface="+mn-ea"/>
                <a:cs typeface="+mn-cs"/>
              </a:defRPr>
            </a:pPr>
          </a:p>
        </c:txPr>
        <c:crossAx val="195432771"/>
        <c:crosses val="autoZero"/>
        <c:auto val="1"/>
        <c:lblOffset val="100"/>
        <c:baseTimeUnit val="months"/>
      </c:dateAx>
      <c:valAx>
        <c:axId val="195432771"/>
        <c:scaling>
          <c:orientation val="minMax"/>
        </c:scaling>
        <c:delete val="0"/>
        <c:axPos val="l"/>
        <c:majorGridlines>
          <c:spPr>
            <a:ln w="9525" cap="flat" cmpd="sng" algn="ctr">
              <a:solidFill>
                <a:schemeClr val="lt1">
                  <a:lumMod val="90200"/>
                </a:schemeClr>
              </a:solidFill>
              <a:round/>
            </a:ln>
            <a:effectLst/>
          </c:spPr>
        </c:majorGridlines>
        <c:numFmt formatCode="General" sourceLinked="1"/>
        <c:majorTickMark val="none"/>
        <c:minorTickMark val="none"/>
        <c:tickLblPos val="nextTo"/>
        <c:spPr>
          <a:noFill/>
          <a:ln>
            <a:noFill/>
          </a:ln>
          <a:effectLst/>
        </c:spPr>
        <c:txPr>
          <a:bodyPr rot="-60000000" spcFirstLastPara="0"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p>
        </c:txPr>
        <c:crossAx val="73771905"/>
        <c:crosses val="autoZero"/>
        <c:crossBetween val="between"/>
      </c:valAx>
      <c:dateAx>
        <c:axId val="119148494"/>
        <c:scaling>
          <c:orientation val="minMax"/>
        </c:scaling>
        <c:delete val="1"/>
        <c:axPos val="b"/>
        <c:majorTickMark val="none"/>
        <c:minorTickMark val="none"/>
        <c:tickLblPos val="nextTo"/>
        <c:txPr>
          <a:bodyPr rot="-60000000" spcFirstLastPara="0"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p>
        </c:txPr>
        <c:crossAx val="653453666"/>
        <c:crosses val="autoZero"/>
        <c:auto val="1"/>
        <c:lblOffset val="100"/>
        <c:baseTimeUnit val="months"/>
      </c:dateAx>
      <c:valAx>
        <c:axId val="653453666"/>
        <c:scaling>
          <c:orientation val="minMax"/>
        </c:scaling>
        <c:delete val="0"/>
        <c:axPos val="r"/>
        <c:numFmt formatCode="General" sourceLinked="1"/>
        <c:majorTickMark val="none"/>
        <c:minorTickMark val="none"/>
        <c:tickLblPos val="nextTo"/>
        <c:spPr>
          <a:noFill/>
          <a:ln>
            <a:noFill/>
          </a:ln>
          <a:effectLst/>
        </c:spPr>
        <c:txPr>
          <a:bodyPr rot="-60000000" spcFirstLastPara="0"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p>
        </c:txPr>
        <c:crossAx val="119148494"/>
        <c:crosses val="max"/>
        <c:crossBetween val="between"/>
      </c:valAx>
      <c:spPr>
        <a:noFill/>
        <a:ln>
          <a:noFill/>
        </a:ln>
        <a:effectLst/>
      </c:spPr>
    </c:plotArea>
    <c:legend>
      <c:legendPos val="b"/>
      <c:layout/>
      <c:overlay val="0"/>
      <c:spPr>
        <a:noFill/>
        <a:ln>
          <a:noFill/>
        </a:ln>
        <a:effectLst/>
      </c:spPr>
      <c:txPr>
        <a:bodyPr rot="0" spcFirstLastPara="0"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extLst>
      <c:ext uri="{0b15fc19-7d7d-44ad-8c2d-2c3a37ce22c3}">
        <chartProps xmlns="https://web.wps.cn/et/2018/main" chartId="{1c56f21f-76ff-445e-b581-ed6d16141b89}"/>
      </c:ext>
    </c:extLst>
  </c:chart>
  <c:spPr>
    <a:solidFill>
      <a:schemeClr val="bg1"/>
    </a:solidFill>
    <a:ln w="9525" cap="flat" cmpd="sng" algn="ctr">
      <a:solidFill>
        <a:schemeClr val="tx1">
          <a:lumMod val="15000"/>
          <a:lumOff val="85000"/>
        </a:schemeClr>
      </a:solidFill>
      <a:round/>
    </a:ln>
    <a:effectLst/>
  </c:spPr>
  <c:txPr>
    <a:bodyPr/>
    <a:lstStyle/>
    <a:p>
      <a:pPr>
        <a:defRPr lang="es-ES"/>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05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10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0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0">
      <cs:styleClr val="auto"/>
    </cs:fillRef>
    <cs:effectRef idx="0"/>
    <cs:fontRef idx="minor">
      <a:schemeClr val="dk1"/>
    </cs:fontRef>
    <cs:spPr>
      <a:ln w="28575" cap="rnd">
        <a:solidFill>
          <a:schemeClr val="phClr"/>
        </a:solidFill>
        <a:round/>
      </a:ln>
      <a:effectLst/>
    </cs:spPr>
  </cs:dataPointLine>
  <cs:dataPointMarker>
    <cs:lnRef idx="0">
      <cs:styleClr val="auto"/>
    </cs:lnRef>
    <cs:fillRef idx="1">
      <cs:styleClr val="auto"/>
    </cs:fillRef>
    <cs:effectRef idx="0"/>
    <cs:fontRef idx="minor">
      <a:schemeClr val="dk1"/>
    </cs:fontRef>
    <cs:spPr>
      <a:ln w="9525">
        <a:solidFill>
          <a:schemeClr val="phClr"/>
        </a:solidFill>
      </a:ln>
      <a:effectLst/>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lt1">
            <a:lumMod val="902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75000"/>
        <a:lumOff val="25000"/>
      </a:schemeClr>
    </cs:fontRef>
    <cs:defRPr sz="1400" b="1" kern="120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emf"/><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487378</xdr:colOff>
      <xdr:row>0</xdr:row>
      <xdr:rowOff>136072</xdr:rowOff>
    </xdr:from>
    <xdr:to>
      <xdr:col>3</xdr:col>
      <xdr:colOff>544288</xdr:colOff>
      <xdr:row>2</xdr:row>
      <xdr:rowOff>318261</xdr:rowOff>
    </xdr:to>
    <xdr:pic>
      <xdr:nvPicPr>
        <xdr:cNvPr id="2" name="Imagen 1"/>
        <xdr:cNvPicPr>
          <a:picLocks noChangeAspect="1"/>
        </xdr:cNvPicPr>
      </xdr:nvPicPr>
      <xdr:blipFill>
        <a:blip r:embed="rId1"/>
        <a:stretch>
          <a:fillRect/>
        </a:stretch>
      </xdr:blipFill>
      <xdr:spPr>
        <a:xfrm>
          <a:off x="8589645" y="135890"/>
          <a:ext cx="895350" cy="575945"/>
        </a:xfrm>
        <a:prstGeom prst="rect">
          <a:avLst/>
        </a:prstGeom>
      </xdr:spPr>
    </xdr:pic>
    <xdr:clientData/>
  </xdr:twoCellAnchor>
  <xdr:twoCellAnchor editAs="oneCell">
    <xdr:from>
      <xdr:col>2</xdr:col>
      <xdr:colOff>63499</xdr:colOff>
      <xdr:row>4</xdr:row>
      <xdr:rowOff>165784</xdr:rowOff>
    </xdr:from>
    <xdr:to>
      <xdr:col>5</xdr:col>
      <xdr:colOff>155855</xdr:colOff>
      <xdr:row>8</xdr:row>
      <xdr:rowOff>332982</xdr:rowOff>
    </xdr:to>
    <xdr:pic>
      <xdr:nvPicPr>
        <xdr:cNvPr id="3" name="Imagen 2"/>
        <xdr:cNvPicPr>
          <a:picLocks noChangeAspect="1"/>
        </xdr:cNvPicPr>
      </xdr:nvPicPr>
      <xdr:blipFill>
        <a:blip r:embed="rId2"/>
        <a:stretch>
          <a:fillRect/>
        </a:stretch>
      </xdr:blipFill>
      <xdr:spPr>
        <a:xfrm>
          <a:off x="8165465" y="1086485"/>
          <a:ext cx="2607310" cy="1779905"/>
        </a:xfrm>
        <a:prstGeom prst="rect">
          <a:avLst/>
        </a:prstGeom>
      </xdr:spPr>
    </xdr:pic>
    <xdr:clientData/>
  </xdr:twoCellAnchor>
  <xdr:twoCellAnchor editAs="oneCell">
    <xdr:from>
      <xdr:col>5</xdr:col>
      <xdr:colOff>489857</xdr:colOff>
      <xdr:row>4</xdr:row>
      <xdr:rowOff>88797</xdr:rowOff>
    </xdr:from>
    <xdr:to>
      <xdr:col>12</xdr:col>
      <xdr:colOff>163285</xdr:colOff>
      <xdr:row>8</xdr:row>
      <xdr:rowOff>357955</xdr:rowOff>
    </xdr:to>
    <xdr:pic>
      <xdr:nvPicPr>
        <xdr:cNvPr id="4" name="Imagen 3"/>
        <xdr:cNvPicPr>
          <a:picLocks noChangeAspect="1"/>
        </xdr:cNvPicPr>
      </xdr:nvPicPr>
      <xdr:blipFill>
        <a:blip r:embed="rId3"/>
        <a:stretch>
          <a:fillRect/>
        </a:stretch>
      </xdr:blipFill>
      <xdr:spPr>
        <a:xfrm>
          <a:off x="11106785" y="1009015"/>
          <a:ext cx="5541010" cy="1882140"/>
        </a:xfrm>
        <a:prstGeom prst="rect">
          <a:avLst/>
        </a:prstGeom>
      </xdr:spPr>
    </xdr:pic>
    <xdr:clientData/>
  </xdr:twoCellAnchor>
  <xdr:twoCellAnchor editAs="oneCell">
    <xdr:from>
      <xdr:col>2</xdr:col>
      <xdr:colOff>431522</xdr:colOff>
      <xdr:row>10</xdr:row>
      <xdr:rowOff>154214</xdr:rowOff>
    </xdr:from>
    <xdr:to>
      <xdr:col>5</xdr:col>
      <xdr:colOff>290285</xdr:colOff>
      <xdr:row>10</xdr:row>
      <xdr:rowOff>1734488</xdr:rowOff>
    </xdr:to>
    <xdr:pic>
      <xdr:nvPicPr>
        <xdr:cNvPr id="5" name="Imagen 4"/>
        <xdr:cNvPicPr>
          <a:picLocks noChangeAspect="1" noChangeArrowheads="1"/>
        </xdr:cNvPicPr>
      </xdr:nvPicPr>
      <xdr:blipFill>
        <a:blip r:embed="rId4">
          <a:extLst>
            <a:ext uri="{28A0092B-C50C-407E-A947-70E740481C1C}">
              <a14:useLocalDpi xmlns:a14="http://schemas.microsoft.com/office/drawing/2010/main" val="0"/>
            </a:ext>
          </a:extLst>
        </a:blip>
        <a:srcRect/>
        <a:stretch>
          <a:fillRect/>
        </a:stretch>
      </xdr:blipFill>
      <xdr:spPr>
        <a:xfrm>
          <a:off x="8533765" y="3671570"/>
          <a:ext cx="2373630" cy="1580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263071</xdr:colOff>
      <xdr:row>11</xdr:row>
      <xdr:rowOff>1</xdr:rowOff>
    </xdr:from>
    <xdr:to>
      <xdr:col>8</xdr:col>
      <xdr:colOff>108857</xdr:colOff>
      <xdr:row>15</xdr:row>
      <xdr:rowOff>179994</xdr:rowOff>
    </xdr:to>
    <xdr:pic>
      <xdr:nvPicPr>
        <xdr:cNvPr id="6" name="Imagen 5"/>
        <xdr:cNvPicPr>
          <a:picLocks noChangeAspect="1" noChangeArrowheads="1"/>
        </xdr:cNvPicPr>
      </xdr:nvPicPr>
      <xdr:blipFill>
        <a:blip r:embed="rId5">
          <a:extLst>
            <a:ext uri="{28A0092B-C50C-407E-A947-70E740481C1C}">
              <a14:useLocalDpi xmlns:a14="http://schemas.microsoft.com/office/drawing/2010/main" val="0"/>
            </a:ext>
          </a:extLst>
        </a:blip>
        <a:srcRect/>
        <a:stretch>
          <a:fillRect/>
        </a:stretch>
      </xdr:blipFill>
      <xdr:spPr>
        <a:xfrm>
          <a:off x="8365490" y="5289550"/>
          <a:ext cx="4874895" cy="1557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435430</xdr:colOff>
      <xdr:row>16</xdr:row>
      <xdr:rowOff>45358</xdr:rowOff>
    </xdr:from>
    <xdr:to>
      <xdr:col>5</xdr:col>
      <xdr:colOff>390072</xdr:colOff>
      <xdr:row>20</xdr:row>
      <xdr:rowOff>39798</xdr:rowOff>
    </xdr:to>
    <xdr:pic>
      <xdr:nvPicPr>
        <xdr:cNvPr id="7" name="Imagen 6"/>
        <xdr:cNvPicPr>
          <a:picLocks noChangeAspect="1"/>
        </xdr:cNvPicPr>
      </xdr:nvPicPr>
      <xdr:blipFill>
        <a:blip r:embed="rId6"/>
        <a:stretch>
          <a:fillRect/>
        </a:stretch>
      </xdr:blipFill>
      <xdr:spPr>
        <a:xfrm>
          <a:off x="8537575" y="6909435"/>
          <a:ext cx="2469515" cy="1569085"/>
        </a:xfrm>
        <a:prstGeom prst="rect">
          <a:avLst/>
        </a:prstGeom>
      </xdr:spPr>
    </xdr:pic>
    <xdr:clientData/>
  </xdr:twoCellAnchor>
  <xdr:twoCellAnchor editAs="oneCell">
    <xdr:from>
      <xdr:col>1</xdr:col>
      <xdr:colOff>1768928</xdr:colOff>
      <xdr:row>30</xdr:row>
      <xdr:rowOff>117929</xdr:rowOff>
    </xdr:from>
    <xdr:to>
      <xdr:col>1</xdr:col>
      <xdr:colOff>5121728</xdr:colOff>
      <xdr:row>38</xdr:row>
      <xdr:rowOff>102508</xdr:rowOff>
    </xdr:to>
    <xdr:pic>
      <xdr:nvPicPr>
        <xdr:cNvPr id="8" name="Imagen 7"/>
        <xdr:cNvPicPr>
          <a:picLocks noChangeAspect="1" noChangeArrowheads="1"/>
        </xdr:cNvPicPr>
      </xdr:nvPicPr>
      <xdr:blipFill>
        <a:blip r:embed="rId7">
          <a:extLst>
            <a:ext uri="{28A0092B-C50C-407E-A947-70E740481C1C}">
              <a14:useLocalDpi xmlns:a14="http://schemas.microsoft.com/office/drawing/2010/main" val="0"/>
            </a:ext>
          </a:extLst>
        </a:blip>
        <a:srcRect/>
        <a:stretch>
          <a:fillRect/>
        </a:stretch>
      </xdr:blipFill>
      <xdr:spPr>
        <a:xfrm>
          <a:off x="2606675" y="12296775"/>
          <a:ext cx="3352800" cy="155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108856</xdr:colOff>
      <xdr:row>20</xdr:row>
      <xdr:rowOff>63500</xdr:rowOff>
    </xdr:from>
    <xdr:to>
      <xdr:col>10</xdr:col>
      <xdr:colOff>369207</xdr:colOff>
      <xdr:row>23</xdr:row>
      <xdr:rowOff>82549</xdr:rowOff>
    </xdr:to>
    <xdr:pic>
      <xdr:nvPicPr>
        <xdr:cNvPr id="10" name="Imagen 9"/>
        <xdr:cNvPicPr>
          <a:picLocks noChangeAspect="1" noChangeArrowheads="1"/>
        </xdr:cNvPicPr>
      </xdr:nvPicPr>
      <xdr:blipFill>
        <a:blip r:embed="rId8">
          <a:extLst>
            <a:ext uri="{28A0092B-C50C-407E-A947-70E740481C1C}">
              <a14:useLocalDpi xmlns:a14="http://schemas.microsoft.com/office/drawing/2010/main" val="0"/>
            </a:ext>
          </a:extLst>
        </a:blip>
        <a:srcRect/>
        <a:stretch>
          <a:fillRect/>
        </a:stretch>
      </xdr:blipFill>
      <xdr:spPr>
        <a:xfrm>
          <a:off x="8211185" y="8502650"/>
          <a:ext cx="6965950" cy="2183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278652</xdr:colOff>
      <xdr:row>1</xdr:row>
      <xdr:rowOff>40341</xdr:rowOff>
    </xdr:from>
    <xdr:to>
      <xdr:col>10</xdr:col>
      <xdr:colOff>540496</xdr:colOff>
      <xdr:row>12</xdr:row>
      <xdr:rowOff>8590</xdr:rowOff>
    </xdr:to>
    <xdr:pic>
      <xdr:nvPicPr>
        <xdr:cNvPr id="2" name="Imagen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018530" y="236855"/>
          <a:ext cx="6967855"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179294</xdr:colOff>
      <xdr:row>13</xdr:row>
      <xdr:rowOff>141941</xdr:rowOff>
    </xdr:from>
    <xdr:to>
      <xdr:col>10</xdr:col>
      <xdr:colOff>439644</xdr:colOff>
      <xdr:row>20</xdr:row>
      <xdr:rowOff>1303617</xdr:rowOff>
    </xdr:to>
    <xdr:pic>
      <xdr:nvPicPr>
        <xdr:cNvPr id="3" name="Imagen 2"/>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5919470" y="2700655"/>
          <a:ext cx="6965950" cy="2539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268941</xdr:colOff>
      <xdr:row>20</xdr:row>
      <xdr:rowOff>1292411</xdr:rowOff>
    </xdr:from>
    <xdr:to>
      <xdr:col>10</xdr:col>
      <xdr:colOff>529291</xdr:colOff>
      <xdr:row>38</xdr:row>
      <xdr:rowOff>22038</xdr:rowOff>
    </xdr:to>
    <xdr:pic>
      <xdr:nvPicPr>
        <xdr:cNvPr id="4" name="Imagen 3"/>
        <xdr:cNvPicPr>
          <a:picLocks noChangeAspect="1" noChangeArrowheads="1"/>
        </xdr:cNvPicPr>
      </xdr:nvPicPr>
      <xdr:blipFill>
        <a:blip r:embed="rId3">
          <a:extLst>
            <a:ext uri="{28A0092B-C50C-407E-A947-70E740481C1C}">
              <a14:useLocalDpi xmlns:a14="http://schemas.microsoft.com/office/drawing/2010/main" val="0"/>
            </a:ext>
          </a:extLst>
        </a:blip>
        <a:srcRect/>
        <a:stretch>
          <a:fillRect/>
        </a:stretch>
      </xdr:blipFill>
      <xdr:spPr>
        <a:xfrm>
          <a:off x="6009005" y="5229225"/>
          <a:ext cx="6965950" cy="3517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164353</xdr:colOff>
      <xdr:row>39</xdr:row>
      <xdr:rowOff>37352</xdr:rowOff>
    </xdr:from>
    <xdr:to>
      <xdr:col>10</xdr:col>
      <xdr:colOff>424703</xdr:colOff>
      <xdr:row>44</xdr:row>
      <xdr:rowOff>75453</xdr:rowOff>
    </xdr:to>
    <xdr:pic>
      <xdr:nvPicPr>
        <xdr:cNvPr id="5" name="Imagen 4"/>
        <xdr:cNvPicPr>
          <a:picLocks noChangeAspect="1" noChangeArrowheads="1"/>
        </xdr:cNvPicPr>
      </xdr:nvPicPr>
      <xdr:blipFill>
        <a:blip r:embed="rId4">
          <a:extLst>
            <a:ext uri="{28A0092B-C50C-407E-A947-70E740481C1C}">
              <a14:useLocalDpi xmlns:a14="http://schemas.microsoft.com/office/drawing/2010/main" val="0"/>
            </a:ext>
          </a:extLst>
        </a:blip>
        <a:srcRect/>
        <a:stretch>
          <a:fillRect/>
        </a:stretch>
      </xdr:blipFill>
      <xdr:spPr>
        <a:xfrm>
          <a:off x="5904230" y="8958580"/>
          <a:ext cx="6965950" cy="192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8</xdr:col>
      <xdr:colOff>190499</xdr:colOff>
      <xdr:row>1</xdr:row>
      <xdr:rowOff>114300</xdr:rowOff>
    </xdr:from>
    <xdr:to>
      <xdr:col>17</xdr:col>
      <xdr:colOff>9524</xdr:colOff>
      <xdr:row>23</xdr:row>
      <xdr:rowOff>38100</xdr:rowOff>
    </xdr:to>
    <xdr:graphicFrame>
      <xdr:nvGraphicFramePr>
        <xdr:cNvPr id="2" name="Gráfico 1"/>
        <xdr:cNvGraphicFramePr/>
      </xdr:nvGraphicFramePr>
      <xdr:xfrm>
        <a:off x="7047865" y="298450"/>
        <a:ext cx="7134225" cy="509905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295275</xdr:colOff>
      <xdr:row>17</xdr:row>
      <xdr:rowOff>38100</xdr:rowOff>
    </xdr:from>
    <xdr:to>
      <xdr:col>4</xdr:col>
      <xdr:colOff>504825</xdr:colOff>
      <xdr:row>18</xdr:row>
      <xdr:rowOff>142875</xdr:rowOff>
    </xdr:to>
    <xdr:sp>
      <xdr:nvSpPr>
        <xdr:cNvPr id="3" name="Flecha arriba 2"/>
        <xdr:cNvSpPr/>
      </xdr:nvSpPr>
      <xdr:spPr>
        <a:xfrm>
          <a:off x="3698875" y="3365500"/>
          <a:ext cx="209550" cy="28892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xdr:col>
      <xdr:colOff>266700</xdr:colOff>
      <xdr:row>17</xdr:row>
      <xdr:rowOff>47625</xdr:rowOff>
    </xdr:from>
    <xdr:to>
      <xdr:col>2</xdr:col>
      <xdr:colOff>476250</xdr:colOff>
      <xdr:row>18</xdr:row>
      <xdr:rowOff>152400</xdr:rowOff>
    </xdr:to>
    <xdr:sp>
      <xdr:nvSpPr>
        <xdr:cNvPr id="4" name="Flecha arriba 4"/>
        <xdr:cNvSpPr/>
      </xdr:nvSpPr>
      <xdr:spPr>
        <a:xfrm>
          <a:off x="2044700" y="3375025"/>
          <a:ext cx="209550" cy="288925"/>
        </a:xfrm>
        <a:prstGeom prst="upArrow">
          <a:avLst/>
        </a:prstGeom>
        <a:solidFill>
          <a:srgbClr val="5B9BD5"/>
        </a:solidFill>
        <a:ln w="12700" cap="flat" cmpd="sng" algn="ctr">
          <a:solidFill>
            <a:srgbClr val="5B9BD5">
              <a:shade val="5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defRPr/>
          </a:pPr>
          <a:endParaRPr kumimoji="0" lang="es-ES"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5</xdr:col>
      <xdr:colOff>400050</xdr:colOff>
      <xdr:row>17</xdr:row>
      <xdr:rowOff>19050</xdr:rowOff>
    </xdr:from>
    <xdr:to>
      <xdr:col>5</xdr:col>
      <xdr:colOff>609600</xdr:colOff>
      <xdr:row>18</xdr:row>
      <xdr:rowOff>123825</xdr:rowOff>
    </xdr:to>
    <xdr:sp>
      <xdr:nvSpPr>
        <xdr:cNvPr id="5" name="Flecha arriba 2"/>
        <xdr:cNvSpPr/>
      </xdr:nvSpPr>
      <xdr:spPr>
        <a:xfrm>
          <a:off x="4616450" y="3346450"/>
          <a:ext cx="209550" cy="28892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6</xdr:col>
      <xdr:colOff>342900</xdr:colOff>
      <xdr:row>17</xdr:row>
      <xdr:rowOff>19050</xdr:rowOff>
    </xdr:from>
    <xdr:to>
      <xdr:col>6</xdr:col>
      <xdr:colOff>552450</xdr:colOff>
      <xdr:row>18</xdr:row>
      <xdr:rowOff>123825</xdr:rowOff>
    </xdr:to>
    <xdr:sp>
      <xdr:nvSpPr>
        <xdr:cNvPr id="6" name="Flecha arriba 2"/>
        <xdr:cNvSpPr/>
      </xdr:nvSpPr>
      <xdr:spPr>
        <a:xfrm>
          <a:off x="5486400" y="3346450"/>
          <a:ext cx="209550" cy="28892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9</xdr:col>
      <xdr:colOff>73660</xdr:colOff>
      <xdr:row>25</xdr:row>
      <xdr:rowOff>125730</xdr:rowOff>
    </xdr:from>
    <xdr:to>
      <xdr:col>14</xdr:col>
      <xdr:colOff>676911</xdr:colOff>
      <xdr:row>46</xdr:row>
      <xdr:rowOff>60498</xdr:rowOff>
    </xdr:to>
    <xdr:pic>
      <xdr:nvPicPr>
        <xdr:cNvPr id="7" name="Imagen 6"/>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7744460" y="5853430"/>
          <a:ext cx="4667250" cy="4093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488879</xdr:colOff>
      <xdr:row>2</xdr:row>
      <xdr:rowOff>196273</xdr:rowOff>
    </xdr:from>
    <xdr:to>
      <xdr:col>33</xdr:col>
      <xdr:colOff>352713</xdr:colOff>
      <xdr:row>20</xdr:row>
      <xdr:rowOff>900547</xdr:rowOff>
    </xdr:to>
    <xdr:pic>
      <xdr:nvPicPr>
        <xdr:cNvPr id="8" name="Imagen 7"/>
        <xdr:cNvPicPr>
          <a:picLocks noChangeAspect="1" noChangeArrowheads="1"/>
        </xdr:cNvPicPr>
      </xdr:nvPicPr>
      <xdr:blipFill>
        <a:blip r:embed="rId3">
          <a:extLst>
            <a:ext uri="{28A0092B-C50C-407E-A947-70E740481C1C}">
              <a14:useLocalDpi xmlns:a14="http://schemas.microsoft.com/office/drawing/2010/main" val="0"/>
            </a:ext>
          </a:extLst>
        </a:blip>
        <a:srcRect/>
        <a:stretch>
          <a:fillRect/>
        </a:stretch>
      </xdr:blipFill>
      <xdr:spPr>
        <a:xfrm>
          <a:off x="14661515" y="564515"/>
          <a:ext cx="12868910" cy="4215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412750</xdr:colOff>
      <xdr:row>1</xdr:row>
      <xdr:rowOff>63500</xdr:rowOff>
    </xdr:from>
    <xdr:to>
      <xdr:col>8</xdr:col>
      <xdr:colOff>679450</xdr:colOff>
      <xdr:row>3</xdr:row>
      <xdr:rowOff>317500</xdr:rowOff>
    </xdr:to>
    <xdr:pic>
      <xdr:nvPicPr>
        <xdr:cNvPr id="2" name="Imagen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7042150" y="260350"/>
          <a:ext cx="5295900" cy="300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18</xdr:col>
      <xdr:colOff>2887</xdr:colOff>
      <xdr:row>20</xdr:row>
      <xdr:rowOff>174624</xdr:rowOff>
    </xdr:from>
    <xdr:to>
      <xdr:col>34</xdr:col>
      <xdr:colOff>793750</xdr:colOff>
      <xdr:row>47</xdr:row>
      <xdr:rowOff>60613</xdr:rowOff>
    </xdr:to>
    <xdr:graphicFrame>
      <xdr:nvGraphicFramePr>
        <xdr:cNvPr id="2" name="Gráfico 1"/>
        <xdr:cNvGraphicFramePr/>
      </xdr:nvGraphicFramePr>
      <xdr:xfrm>
        <a:off x="11927840" y="4453890"/>
        <a:ext cx="14678660" cy="520128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266700</xdr:colOff>
      <xdr:row>7</xdr:row>
      <xdr:rowOff>85725</xdr:rowOff>
    </xdr:from>
    <xdr:to>
      <xdr:col>15</xdr:col>
      <xdr:colOff>533400</xdr:colOff>
      <xdr:row>41</xdr:row>
      <xdr:rowOff>71755</xdr:rowOff>
    </xdr:to>
    <xdr:pic>
      <xdr:nvPicPr>
        <xdr:cNvPr id="5" name="Imagen 4" descr="Imagen de WhatsApp 2023-12-13 a las 22.43.09_72d80553"/>
        <xdr:cNvPicPr>
          <a:picLocks noChangeAspect="1"/>
        </xdr:cNvPicPr>
      </xdr:nvPicPr>
      <xdr:blipFill>
        <a:blip r:embed="rId2"/>
        <a:stretch>
          <a:fillRect/>
        </a:stretch>
      </xdr:blipFill>
      <xdr:spPr>
        <a:xfrm>
          <a:off x="2705100" y="1463675"/>
          <a:ext cx="6750050" cy="702183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4</xdr:col>
      <xdr:colOff>495300</xdr:colOff>
      <xdr:row>1</xdr:row>
      <xdr:rowOff>177800</xdr:rowOff>
    </xdr:from>
    <xdr:to>
      <xdr:col>15</xdr:col>
      <xdr:colOff>406400</xdr:colOff>
      <xdr:row>29</xdr:row>
      <xdr:rowOff>63500</xdr:rowOff>
    </xdr:to>
    <xdr:graphicFrame>
      <xdr:nvGraphicFramePr>
        <xdr:cNvPr id="43" name="Gráfico 42"/>
        <xdr:cNvGraphicFramePr/>
      </xdr:nvGraphicFramePr>
      <xdr:xfrm>
        <a:off x="3073400" y="374650"/>
        <a:ext cx="9131300" cy="50927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10</xdr:col>
      <xdr:colOff>305435</xdr:colOff>
      <xdr:row>16</xdr:row>
      <xdr:rowOff>187960</xdr:rowOff>
    </xdr:from>
    <xdr:ext cx="5760000" cy="2858750"/>
    <xdr:graphicFrame>
      <xdr:nvGraphicFramePr>
        <xdr:cNvPr id="2" name="Chart 1"/>
        <xdr:cNvGraphicFramePr/>
      </xdr:nvGraphicFramePr>
      <xdr:xfrm>
        <a:off x="16042640" y="3699510"/>
        <a:ext cx="5759450" cy="2858135"/>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10</xdr:col>
      <xdr:colOff>293370</xdr:colOff>
      <xdr:row>2</xdr:row>
      <xdr:rowOff>184785</xdr:rowOff>
    </xdr:from>
    <xdr:ext cx="5760000" cy="2744450"/>
    <xdr:graphicFrame>
      <xdr:nvGraphicFramePr>
        <xdr:cNvPr id="3" name="Chart 2"/>
        <xdr:cNvGraphicFramePr/>
      </xdr:nvGraphicFramePr>
      <xdr:xfrm>
        <a:off x="16030575" y="876935"/>
        <a:ext cx="5759450" cy="2743835"/>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twoCellAnchor>
    <xdr:from>
      <xdr:col>1</xdr:col>
      <xdr:colOff>20320</xdr:colOff>
      <xdr:row>46</xdr:row>
      <xdr:rowOff>143510</xdr:rowOff>
    </xdr:from>
    <xdr:to>
      <xdr:col>6</xdr:col>
      <xdr:colOff>60325</xdr:colOff>
      <xdr:row>68</xdr:row>
      <xdr:rowOff>147320</xdr:rowOff>
    </xdr:to>
    <xdr:graphicFrame>
      <xdr:nvGraphicFramePr>
        <xdr:cNvPr id="6" name="Gráfico 5"/>
        <xdr:cNvGraphicFramePr/>
      </xdr:nvGraphicFramePr>
      <xdr:xfrm>
        <a:off x="648970" y="9389110"/>
        <a:ext cx="8963660" cy="405511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44450</xdr:colOff>
      <xdr:row>9</xdr:row>
      <xdr:rowOff>76200</xdr:rowOff>
    </xdr:from>
    <xdr:to>
      <xdr:col>7</xdr:col>
      <xdr:colOff>557222</xdr:colOff>
      <xdr:row>11</xdr:row>
      <xdr:rowOff>104703</xdr:rowOff>
    </xdr:to>
    <xdr:pic>
      <xdr:nvPicPr>
        <xdr:cNvPr id="2" name="Imagen 1"/>
        <xdr:cNvPicPr>
          <a:picLocks noChangeAspect="1"/>
        </xdr:cNvPicPr>
      </xdr:nvPicPr>
      <xdr:blipFill>
        <a:blip r:embed="rId1"/>
        <a:stretch>
          <a:fillRect/>
        </a:stretch>
      </xdr:blipFill>
      <xdr:spPr>
        <a:xfrm>
          <a:off x="1739900" y="1847850"/>
          <a:ext cx="4208145" cy="421640"/>
        </a:xfrm>
        <a:prstGeom prst="rect">
          <a:avLst/>
        </a:prstGeom>
      </xdr:spPr>
    </xdr:pic>
    <xdr:clientData/>
  </xdr:twoCellAnchor>
  <xdr:twoCellAnchor editAs="oneCell">
    <xdr:from>
      <xdr:col>1</xdr:col>
      <xdr:colOff>90365</xdr:colOff>
      <xdr:row>12</xdr:row>
      <xdr:rowOff>1</xdr:rowOff>
    </xdr:from>
    <xdr:to>
      <xdr:col>6</xdr:col>
      <xdr:colOff>451754</xdr:colOff>
      <xdr:row>21</xdr:row>
      <xdr:rowOff>117930</xdr:rowOff>
    </xdr:to>
    <xdr:pic>
      <xdr:nvPicPr>
        <xdr:cNvPr id="3" name="Imagen 2"/>
        <xdr:cNvPicPr>
          <a:picLocks noChangeAspect="1"/>
        </xdr:cNvPicPr>
      </xdr:nvPicPr>
      <xdr:blipFill>
        <a:blip r:embed="rId2"/>
        <a:stretch>
          <a:fillRect/>
        </a:stretch>
      </xdr:blipFill>
      <xdr:spPr>
        <a:xfrm>
          <a:off x="928370" y="2362200"/>
          <a:ext cx="4380865" cy="1889125"/>
        </a:xfrm>
        <a:prstGeom prst="rect">
          <a:avLst/>
        </a:prstGeom>
      </xdr:spPr>
    </xdr:pic>
    <xdr:clientData/>
  </xdr:twoCellAnchor>
  <xdr:twoCellAnchor editAs="oneCell">
    <xdr:from>
      <xdr:col>7</xdr:col>
      <xdr:colOff>390917</xdr:colOff>
      <xdr:row>12</xdr:row>
      <xdr:rowOff>9072</xdr:rowOff>
    </xdr:from>
    <xdr:to>
      <xdr:col>12</xdr:col>
      <xdr:colOff>575130</xdr:colOff>
      <xdr:row>21</xdr:row>
      <xdr:rowOff>132107</xdr:rowOff>
    </xdr:to>
    <xdr:pic>
      <xdr:nvPicPr>
        <xdr:cNvPr id="4" name="Imagen 3"/>
        <xdr:cNvPicPr>
          <a:picLocks noChangeAspect="1"/>
        </xdr:cNvPicPr>
      </xdr:nvPicPr>
      <xdr:blipFill>
        <a:blip r:embed="rId3"/>
        <a:stretch>
          <a:fillRect/>
        </a:stretch>
      </xdr:blipFill>
      <xdr:spPr>
        <a:xfrm>
          <a:off x="5781675" y="2371090"/>
          <a:ext cx="4572000" cy="1894840"/>
        </a:xfrm>
        <a:prstGeom prst="rect">
          <a:avLst/>
        </a:prstGeom>
      </xdr:spPr>
    </xdr:pic>
    <xdr:clientData/>
  </xdr:twoCellAnchor>
  <xdr:twoCellAnchor editAs="oneCell">
    <xdr:from>
      <xdr:col>0</xdr:col>
      <xdr:colOff>722544</xdr:colOff>
      <xdr:row>22</xdr:row>
      <xdr:rowOff>173182</xdr:rowOff>
    </xdr:from>
    <xdr:to>
      <xdr:col>6</xdr:col>
      <xdr:colOff>529273</xdr:colOff>
      <xdr:row>32</xdr:row>
      <xdr:rowOff>162289</xdr:rowOff>
    </xdr:to>
    <xdr:pic>
      <xdr:nvPicPr>
        <xdr:cNvPr id="5" name="Imagen 4"/>
        <xdr:cNvPicPr>
          <a:picLocks noChangeAspect="1"/>
        </xdr:cNvPicPr>
      </xdr:nvPicPr>
      <xdr:blipFill>
        <a:blip r:embed="rId4"/>
        <a:stretch>
          <a:fillRect/>
        </a:stretch>
      </xdr:blipFill>
      <xdr:spPr>
        <a:xfrm>
          <a:off x="721995" y="4503420"/>
          <a:ext cx="4664710" cy="1957705"/>
        </a:xfrm>
        <a:prstGeom prst="rect">
          <a:avLst/>
        </a:prstGeom>
      </xdr:spPr>
    </xdr:pic>
    <xdr:clientData/>
  </xdr:twoCellAnchor>
  <xdr:twoCellAnchor editAs="oneCell">
    <xdr:from>
      <xdr:col>7</xdr:col>
      <xdr:colOff>380999</xdr:colOff>
      <xdr:row>22</xdr:row>
      <xdr:rowOff>139219</xdr:rowOff>
    </xdr:from>
    <xdr:to>
      <xdr:col>12</xdr:col>
      <xdr:colOff>583869</xdr:colOff>
      <xdr:row>32</xdr:row>
      <xdr:rowOff>144096</xdr:rowOff>
    </xdr:to>
    <xdr:pic>
      <xdr:nvPicPr>
        <xdr:cNvPr id="6" name="Imagen 5"/>
        <xdr:cNvPicPr>
          <a:picLocks noChangeAspect="1"/>
        </xdr:cNvPicPr>
      </xdr:nvPicPr>
      <xdr:blipFill>
        <a:blip r:embed="rId5"/>
        <a:stretch>
          <a:fillRect/>
        </a:stretch>
      </xdr:blipFill>
      <xdr:spPr>
        <a:xfrm>
          <a:off x="5771515" y="4469765"/>
          <a:ext cx="4591050" cy="1972945"/>
        </a:xfrm>
        <a:prstGeom prst="rect">
          <a:avLst/>
        </a:prstGeom>
      </xdr:spPr>
    </xdr:pic>
    <xdr:clientData/>
  </xdr:twoCellAnchor>
  <xdr:twoCellAnchor editAs="oneCell">
    <xdr:from>
      <xdr:col>13</xdr:col>
      <xdr:colOff>625928</xdr:colOff>
      <xdr:row>1</xdr:row>
      <xdr:rowOff>69530</xdr:rowOff>
    </xdr:from>
    <xdr:to>
      <xdr:col>20</xdr:col>
      <xdr:colOff>663309</xdr:colOff>
      <xdr:row>17</xdr:row>
      <xdr:rowOff>81643</xdr:rowOff>
    </xdr:to>
    <xdr:pic>
      <xdr:nvPicPr>
        <xdr:cNvPr id="7" name="Imagen 6"/>
        <xdr:cNvPicPr>
          <a:picLocks noChangeAspect="1"/>
        </xdr:cNvPicPr>
      </xdr:nvPicPr>
      <xdr:blipFill>
        <a:blip r:embed="rId6"/>
        <a:stretch>
          <a:fillRect/>
        </a:stretch>
      </xdr:blipFill>
      <xdr:spPr>
        <a:xfrm>
          <a:off x="11007725" y="266065"/>
          <a:ext cx="5904865" cy="31616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ul%20Armendariz\Saul\Entrenamientos\PLANTILLA%20APP%20la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aularmendariz\Documents\Triatlon%20Excels\ModeloEntrena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aularmendariz\Documents\Triatlo&#769;n\Triatlon%20Excels\VDOTTriatl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aul%20Armendariz\Saul\Entrenamientos\PLANTILLA%20APP.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istas"/>
      <sheetName val="Técnica Pedalada"/>
      <sheetName val="TC"/>
      <sheetName val="EV. CUANT. TÉC. NATACIÓN (2)"/>
      <sheetName val="PLANIFICACIÓN NUTRICIONAL"/>
      <sheetName val="CALCULADORA SOBRECARGA DE CHO"/>
      <sheetName val="Nutri Anual"/>
      <sheetName val="NEC CHO-PROT"/>
      <sheetName val="nutri competicion"/>
      <sheetName val="NUTR ENTR"/>
      <sheetName val="Tasa Sud"/>
      <sheetName val="BIBLIOTECA DE ALIMENTOS"/>
      <sheetName val="Macro Week"/>
      <sheetName val="Macro ATP"/>
      <sheetName val="Taper"/>
      <sheetName val="Bilbo"/>
      <sheetName val="Perfil Fuerza"/>
      <sheetName val="Fuerza (2)"/>
      <sheetName val="Fuerza"/>
      <sheetName val="VBT_Practica Applications"/>
      <sheetName val="Índice Postural Pie"/>
      <sheetName val="Val Comp"/>
      <sheetName val="Det. Ritmos TRI"/>
      <sheetName val="Estimar Constantes"/>
      <sheetName val="TTE"/>
      <sheetName val="Análisis Deporte"/>
      <sheetName val="Polarized TSS"/>
      <sheetName val="BikeOptimizer"/>
      <sheetName val="Técnica Carrera"/>
      <sheetName val="Seg Compet"/>
      <sheetName val="Periodización Anual"/>
      <sheetName val="predict"/>
      <sheetName val="Planif Sem"/>
      <sheetName val="Carga Meso"/>
      <sheetName val="Injury Risk"/>
      <sheetName val="rTss"/>
      <sheetName val="APP"/>
      <sheetName val="Control Carga"/>
      <sheetName val="Antropom"/>
      <sheetName val="Tabla"/>
      <sheetName val="%Potencias"/>
      <sheetName val="perf pot"/>
      <sheetName val="Perfil Dep."/>
      <sheetName val="Zonas"/>
      <sheetName val="Perf. Met."/>
      <sheetName val="Test"/>
      <sheetName val="Test Lac"/>
      <sheetName val="Zonas Lactato"/>
      <sheetName val="Lactato"/>
      <sheetName val="Planif. Gnral"/>
      <sheetName val="Temporalización"/>
      <sheetName val="ATP"/>
      <sheetName val="Planif."/>
      <sheetName val="Macro (2)"/>
      <sheetName val="Microciclo"/>
      <sheetName val="Mesociclo"/>
      <sheetName val="Macro"/>
      <sheetName val="Analítica"/>
      <sheetName val=" Calendario Mes"/>
      <sheetName val="Planes Entreno"/>
      <sheetName val="Vol. km"/>
      <sheetName val="Zonas CyB"/>
      <sheetName val="Zonas Natación"/>
      <sheetName val="Swim"/>
      <sheetName val="Run"/>
      <sheetName val="Bike"/>
      <sheetName val="SwScore"/>
      <sheetName val="Zonas FTP"/>
      <sheetName val="VAM"/>
      <sheetName val="Run Zonas Test Grupo"/>
      <sheetName val="Det Rit Car VAM"/>
      <sheetName val="VDOT Triathlon"/>
      <sheetName val="VDOT Run"/>
      <sheetName val="PredRendNatacion"/>
      <sheetName val="Daniels Tables"/>
      <sheetName val="Cad-Tiempo"/>
      <sheetName val="Dinámica de Carrera"/>
      <sheetName val="RitmoCad"/>
      <sheetName val="RITMOS"/>
      <sheetName val="Ibiomechanics Run"/>
      <sheetName val="Carga"/>
      <sheetName val="Macro, Meso y Microciclos."/>
      <sheetName val="Macro, Meso y Microcic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Tss"/>
      <sheetName val="TRIMP"/>
    </sheetNames>
    <sheetDataSet>
      <sheetData sheetId="0" refreshError="1"/>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Niveles de Intensidad"/>
    </sheetNames>
    <sheetDataSet>
      <sheetData sheetId="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Listas"/>
      <sheetName val="Zonas"/>
      <sheetName val="Técnica Pedalada"/>
      <sheetName val="TC"/>
      <sheetName val="Técnica Carrera"/>
      <sheetName val="EV. CUANT. TÉC. NATACIÓN"/>
      <sheetName val="PLANIFICACIÓN NUTRICIONAL"/>
      <sheetName val="CALCULADORA SOBRECARGA DE CHO"/>
      <sheetName val="Nutri Anual"/>
      <sheetName val="NEC CHO-PROT"/>
      <sheetName val="NUTR dis-tie"/>
      <sheetName val="NUTR ENTR"/>
      <sheetName val="BIBLIOTECA DE ALIMENTOS"/>
      <sheetName val="Macro Week"/>
      <sheetName val="Macro ATP"/>
      <sheetName val="Perf. Met."/>
      <sheetName val="Taper"/>
      <sheetName val="Bilbo"/>
      <sheetName val="Perfil Fuerza"/>
      <sheetName val="Fuerza (2)"/>
      <sheetName val="Fuerza"/>
      <sheetName val="VBT_Practica Applications"/>
      <sheetName val="Lactato"/>
      <sheetName val="Planif. Gnral"/>
      <sheetName val="Índice Postural Pie"/>
      <sheetName val="Det. Ritmos TRI"/>
      <sheetName val="Estimar Constantes"/>
      <sheetName val="TTE"/>
      <sheetName val="BikeOptimizer"/>
      <sheetName val="SINCRO"/>
      <sheetName val="Análisis Deporte"/>
      <sheetName val="Polarized TSS"/>
      <sheetName val="Planif Sem"/>
      <sheetName val="Periodización Anual"/>
      <sheetName val="Temporalización"/>
      <sheetName val="ATP"/>
      <sheetName val="Microciclo"/>
      <sheetName val="Planif."/>
      <sheetName val="Mesociclo"/>
      <sheetName val="Macro"/>
      <sheetName val="Analítica"/>
      <sheetName val="Test"/>
      <sheetName val="Percentiles"/>
      <sheetName val=" Calendario Mes"/>
      <sheetName val="Zonas CyB"/>
      <sheetName val="Perfil Dep."/>
      <sheetName val="Swim"/>
      <sheetName val="Run"/>
      <sheetName val="Bike"/>
      <sheetName val="rTss"/>
      <sheetName val="SwScore"/>
      <sheetName val="PredRendNatacion"/>
      <sheetName val="Zonas FTP"/>
      <sheetName val="VAM"/>
      <sheetName val="Run Zonas Test Grupo"/>
      <sheetName val="Det Rit Car VAM"/>
      <sheetName val="VDOT Triathlon"/>
      <sheetName val="VDOT Run"/>
      <sheetName val="Daniels Tables"/>
      <sheetName val="Cad-Tiempo"/>
      <sheetName val="Dinámica de Carrera"/>
      <sheetName val="RitmoCad"/>
      <sheetName val="RITMOS"/>
      <sheetName val="Ibiomechanics Run"/>
      <sheetName val="Carga"/>
      <sheetName val="Macro, Meso y Microciclos."/>
      <sheetName val="Macro, Meso y Microcic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hyperlink" Target="https://www.uiginn.com/lactate/e-support/help.html" TargetMode="Externa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B34"/>
  <sheetViews>
    <sheetView showGridLines="0" topLeftCell="B11" workbookViewId="0">
      <selection activeCell="B19" sqref="B19"/>
    </sheetView>
  </sheetViews>
  <sheetFormatPr defaultColWidth="11" defaultRowHeight="15.5" outlineLevelCol="1"/>
  <cols>
    <col min="2" max="2" width="95.3333333333333" style="209" customWidth="1"/>
  </cols>
  <sheetData>
    <row r="2" spans="1:2">
      <c r="A2" s="231" t="s">
        <v>0</v>
      </c>
      <c r="B2" s="232" t="s">
        <v>1</v>
      </c>
    </row>
    <row r="3" ht="26" spans="1:2">
      <c r="A3" s="231"/>
      <c r="B3" s="232" t="s">
        <v>2</v>
      </c>
    </row>
    <row r="4" spans="1:2">
      <c r="B4" s="232"/>
    </row>
    <row r="5" spans="1:2">
      <c r="A5" s="233" t="s">
        <v>3</v>
      </c>
      <c r="B5" s="209" t="s">
        <v>4</v>
      </c>
    </row>
    <row r="6" spans="1:2">
      <c r="A6" s="233"/>
      <c r="B6" s="209" t="s">
        <v>5</v>
      </c>
    </row>
    <row r="7" ht="65" spans="1:2">
      <c r="A7" s="233"/>
      <c r="B7" s="232" t="s">
        <v>6</v>
      </c>
    </row>
    <row r="8" s="116" customFormat="1" ht="31" spans="1:2">
      <c r="A8" s="233"/>
      <c r="B8" s="116" t="s">
        <v>7</v>
      </c>
    </row>
    <row r="9" ht="62" spans="1:2">
      <c r="A9" s="233"/>
      <c r="B9" s="209" t="s">
        <v>8</v>
      </c>
    </row>
    <row r="11" ht="139.5" spans="1:2">
      <c r="A11" s="234" t="s">
        <v>9</v>
      </c>
      <c r="B11" s="209" t="s">
        <v>10</v>
      </c>
    </row>
    <row r="13" ht="62" spans="1:2">
      <c r="A13" s="235" t="s">
        <v>11</v>
      </c>
      <c r="B13" s="209" t="s">
        <v>12</v>
      </c>
    </row>
    <row r="18" ht="77.5" spans="1:2">
      <c r="A18" s="236" t="s">
        <v>13</v>
      </c>
      <c r="B18" s="209" t="s">
        <v>14</v>
      </c>
    </row>
    <row r="22" ht="139.5" spans="1:2">
      <c r="A22" s="237" t="s">
        <v>15</v>
      </c>
      <c r="B22" s="209" t="s">
        <v>16</v>
      </c>
    </row>
    <row r="29" spans="1:2">
      <c r="B29" s="238" t="s">
        <v>17</v>
      </c>
    </row>
    <row r="30" ht="31" spans="1:2">
      <c r="B30" s="209" t="s">
        <v>18</v>
      </c>
    </row>
    <row r="34" spans="2:2">
      <c r="B34"/>
    </row>
  </sheetData>
  <mergeCells count="2">
    <mergeCell ref="A2:A3"/>
    <mergeCell ref="A5:A9"/>
  </mergeCells>
  <pageMargins left="0.7" right="0.7" top="0.75" bottom="0.75" header="0.3" footer="0.3"/>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L9"/>
  <sheetViews>
    <sheetView showGridLines="0" workbookViewId="0">
      <selection activeCell="G6" sqref="G6"/>
    </sheetView>
  </sheetViews>
  <sheetFormatPr defaultColWidth="11" defaultRowHeight="15.5"/>
  <cols>
    <col min="3" max="3" width="8.83333333333333" customWidth="1"/>
    <col min="4" max="4" width="8.5" customWidth="1"/>
    <col min="5" max="5" width="4.58333333333333" customWidth="1"/>
    <col min="6" max="6" width="3.75" customWidth="1"/>
    <col min="7" max="8" width="9.08333333333333" customWidth="1"/>
    <col min="9" max="9" width="6.75" customWidth="1"/>
    <col min="10" max="10" width="7.25" customWidth="1"/>
    <col min="11" max="11" width="4.75" customWidth="1"/>
    <col min="12" max="12" width="14.3333333333333" customWidth="1"/>
  </cols>
  <sheetData>
    <row r="1" ht="16.25"/>
    <row r="2" ht="16.25" spans="3:12">
      <c r="C2" s="1" t="s">
        <v>245</v>
      </c>
      <c r="D2" s="2"/>
      <c r="E2" s="2"/>
      <c r="F2" s="2"/>
      <c r="G2" s="2"/>
      <c r="H2" s="2"/>
      <c r="I2" s="2"/>
      <c r="J2" s="2"/>
      <c r="K2" s="2"/>
      <c r="L2" s="3"/>
    </row>
    <row r="3" spans="3:12">
      <c r="C3" s="4"/>
      <c r="D3" s="4"/>
      <c r="E3" s="4"/>
      <c r="F3" s="4"/>
      <c r="G3" s="4"/>
      <c r="H3" s="4"/>
      <c r="I3" s="4"/>
      <c r="J3" s="4"/>
      <c r="K3" s="4"/>
      <c r="L3" s="4"/>
    </row>
    <row r="4" spans="3:12">
      <c r="C4" s="5" t="s">
        <v>246</v>
      </c>
      <c r="D4" s="5"/>
      <c r="E4" s="5"/>
      <c r="F4" s="5"/>
      <c r="G4" s="5"/>
      <c r="H4" s="5"/>
      <c r="I4" s="5"/>
      <c r="J4" s="5"/>
      <c r="K4" s="5"/>
      <c r="L4" s="5"/>
    </row>
    <row r="5" ht="16.25" spans="3:12">
      <c r="C5" s="6" t="s">
        <v>247</v>
      </c>
      <c r="D5" s="6" t="s">
        <v>248</v>
      </c>
      <c r="E5" s="7" t="s">
        <v>229</v>
      </c>
      <c r="F5" s="8" t="s">
        <v>249</v>
      </c>
      <c r="G5" s="7" t="s">
        <v>250</v>
      </c>
      <c r="H5" s="9" t="s">
        <v>251</v>
      </c>
      <c r="I5" s="7" t="s">
        <v>252</v>
      </c>
      <c r="J5" s="8" t="s">
        <v>253</v>
      </c>
      <c r="K5" s="7" t="s">
        <v>254</v>
      </c>
      <c r="L5" s="7" t="s">
        <v>255</v>
      </c>
    </row>
    <row r="6" ht="16.25" spans="3:12">
      <c r="C6" s="10">
        <v>260</v>
      </c>
      <c r="D6" s="10">
        <v>67</v>
      </c>
      <c r="E6" s="11">
        <f>C6/D6</f>
        <v>3.88059701492537</v>
      </c>
      <c r="F6" s="10">
        <v>160</v>
      </c>
      <c r="G6" s="11">
        <f>F6/(E6*L6*100)</f>
        <v>0.142371440713982</v>
      </c>
      <c r="H6" s="11">
        <f>G6*60</f>
        <v>8.54228644283893</v>
      </c>
      <c r="I6" s="12">
        <f>60*G6*TIME(0,1,0)</f>
        <v>0.00593214336308259</v>
      </c>
      <c r="J6" s="13">
        <v>8.96</v>
      </c>
      <c r="K6" s="14" t="s">
        <v>217</v>
      </c>
      <c r="L6" s="14">
        <f>2+J6/10</f>
        <v>2.896</v>
      </c>
    </row>
    <row r="7" spans="3:12">
      <c r="C7" s="5" t="s">
        <v>256</v>
      </c>
      <c r="D7" s="5"/>
      <c r="E7" s="5"/>
      <c r="F7" s="5"/>
      <c r="G7" s="5"/>
      <c r="H7" s="5"/>
      <c r="I7" s="5"/>
      <c r="J7" s="5"/>
      <c r="K7" s="5"/>
      <c r="L7" s="5"/>
    </row>
    <row r="8" ht="16.25" spans="3:12">
      <c r="C8" s="15" t="s">
        <v>247</v>
      </c>
      <c r="D8" s="6" t="s">
        <v>248</v>
      </c>
      <c r="E8" s="7" t="s">
        <v>229</v>
      </c>
      <c r="F8" s="8" t="s">
        <v>249</v>
      </c>
      <c r="G8" s="7" t="s">
        <v>250</v>
      </c>
      <c r="H8" s="6" t="s">
        <v>251</v>
      </c>
      <c r="I8" s="16" t="s">
        <v>252</v>
      </c>
      <c r="J8" s="8" t="s">
        <v>253</v>
      </c>
      <c r="K8" s="7" t="s">
        <v>254</v>
      </c>
      <c r="L8" s="7" t="s">
        <v>255</v>
      </c>
    </row>
    <row r="9" ht="16.25" spans="3:12">
      <c r="C9" s="17">
        <f>IFERROR(D9*E9,0)</f>
        <v>367.24905789654</v>
      </c>
      <c r="D9" s="10">
        <v>67</v>
      </c>
      <c r="E9" s="11">
        <f>IFERROR(K9/(L9*100),0)</f>
        <v>5.48132922233642</v>
      </c>
      <c r="F9" s="10">
        <v>160</v>
      </c>
      <c r="G9" s="11">
        <f>H9/60</f>
        <v>0.1</v>
      </c>
      <c r="H9" s="13">
        <v>6</v>
      </c>
      <c r="I9" s="18">
        <f>60*G9*TIME(0,1,0)</f>
        <v>0.00416666666666667</v>
      </c>
      <c r="J9" s="13">
        <v>9.19</v>
      </c>
      <c r="K9" s="19">
        <f>IFERROR(F9/G9,0)</f>
        <v>1600</v>
      </c>
      <c r="L9" s="14">
        <f>2+(J9/10)</f>
        <v>2.919</v>
      </c>
    </row>
  </sheetData>
  <mergeCells count="3">
    <mergeCell ref="C2:L2"/>
    <mergeCell ref="C4:L4"/>
    <mergeCell ref="C7:L7"/>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K40"/>
  <sheetViews>
    <sheetView showGridLines="0" zoomScale="70" zoomScaleNormal="70" workbookViewId="0">
      <selection activeCell="C43" sqref="C43"/>
    </sheetView>
  </sheetViews>
  <sheetFormatPr defaultColWidth="11" defaultRowHeight="15.5"/>
  <cols>
    <col min="3" max="3" width="7" customWidth="1"/>
    <col min="4" max="6" width="10.6666666666667" hidden="1" customWidth="1"/>
    <col min="10" max="10" width="38.25" customWidth="1"/>
    <col min="11" max="11" width="52" customWidth="1"/>
  </cols>
  <sheetData>
    <row r="3" spans="2:11">
      <c r="B3" s="115" t="s">
        <v>19</v>
      </c>
    </row>
    <row r="4" spans="2:11">
      <c r="B4" s="229"/>
      <c r="K4" s="209" t="s">
        <v>20</v>
      </c>
    </row>
    <row r="5" spans="2:11">
      <c r="B5" s="228" t="s">
        <v>21</v>
      </c>
      <c r="K5" s="209"/>
    </row>
    <row r="6" spans="2:11">
      <c r="B6" s="228" t="s">
        <v>22</v>
      </c>
      <c r="K6" s="209"/>
    </row>
    <row r="7" spans="2:11">
      <c r="B7" s="228" t="s">
        <v>23</v>
      </c>
      <c r="K7" s="209"/>
    </row>
    <row r="8" spans="2:11">
      <c r="B8" s="228" t="s">
        <v>24</v>
      </c>
      <c r="K8" s="209"/>
    </row>
    <row r="9" spans="2:11">
      <c r="B9" s="228" t="s">
        <v>25</v>
      </c>
      <c r="K9" s="209"/>
    </row>
    <row r="10" spans="2:11">
      <c r="B10" s="228" t="s">
        <v>26</v>
      </c>
      <c r="K10" s="209"/>
    </row>
    <row r="11" spans="2:11">
      <c r="B11" s="228" t="s">
        <v>27</v>
      </c>
      <c r="K11" s="209"/>
    </row>
    <row r="12" spans="2:11">
      <c r="B12" s="228" t="s">
        <v>28</v>
      </c>
      <c r="K12" s="209"/>
    </row>
    <row r="13" spans="2:11">
      <c r="B13" s="228" t="s">
        <v>29</v>
      </c>
      <c r="K13" s="209"/>
    </row>
    <row r="16" spans="2:11">
      <c r="B16" s="115" t="s">
        <v>30</v>
      </c>
    </row>
    <row r="17" spans="2:10">
      <c r="B17" s="229"/>
    </row>
    <row r="18" spans="2:10">
      <c r="B18" s="228" t="s">
        <v>31</v>
      </c>
      <c r="C18" s="230"/>
      <c r="D18" s="230"/>
      <c r="E18" s="230"/>
      <c r="F18" s="230"/>
      <c r="G18" s="230"/>
      <c r="H18" s="230"/>
      <c r="I18" s="230"/>
      <c r="J18" s="230"/>
    </row>
    <row r="19" spans="2:10">
      <c r="B19" s="228" t="s">
        <v>32</v>
      </c>
      <c r="C19" s="230"/>
      <c r="D19" s="230"/>
      <c r="E19" s="230"/>
      <c r="F19" s="230"/>
      <c r="G19" s="230"/>
      <c r="H19" s="230"/>
      <c r="I19" s="230"/>
      <c r="J19" s="230"/>
    </row>
    <row r="20" spans="2:10">
      <c r="B20" s="228" t="s">
        <v>33</v>
      </c>
      <c r="C20" s="230"/>
      <c r="D20" s="230"/>
      <c r="E20" s="230"/>
      <c r="F20" s="230"/>
      <c r="G20" s="230"/>
      <c r="H20" s="230"/>
      <c r="I20" s="230"/>
      <c r="J20" s="230"/>
    </row>
    <row r="21" spans="2:10">
      <c r="B21" s="228" t="s">
        <v>34</v>
      </c>
      <c r="C21" s="230"/>
      <c r="D21" s="230"/>
      <c r="E21" s="230"/>
      <c r="F21" s="230"/>
      <c r="G21" s="230"/>
      <c r="H21" s="230"/>
      <c r="I21" s="230"/>
      <c r="J21" s="230"/>
    </row>
    <row r="22" spans="2:10">
      <c r="B22" s="228" t="s">
        <v>35</v>
      </c>
      <c r="C22" s="230"/>
      <c r="D22" s="230"/>
      <c r="E22" s="230"/>
      <c r="F22" s="230"/>
      <c r="G22" s="230"/>
      <c r="H22" s="230"/>
      <c r="I22" s="230"/>
      <c r="J22" s="230"/>
    </row>
    <row r="23" spans="2:10">
      <c r="B23" s="228" t="s">
        <v>36</v>
      </c>
      <c r="C23" s="230"/>
      <c r="D23" s="230"/>
      <c r="E23" s="230"/>
      <c r="F23" s="230"/>
      <c r="G23" s="230"/>
      <c r="H23" s="230"/>
      <c r="I23" s="230"/>
      <c r="J23" s="230"/>
    </row>
    <row r="24" spans="2:10">
      <c r="B24" s="228" t="s">
        <v>37</v>
      </c>
      <c r="C24" s="230"/>
      <c r="D24" s="230"/>
      <c r="E24" s="230"/>
      <c r="F24" s="230"/>
      <c r="G24" s="230"/>
      <c r="H24" s="230"/>
      <c r="I24" s="230"/>
      <c r="J24" s="230"/>
    </row>
    <row r="25" ht="90.5" customHeight="1" spans="2:10">
      <c r="B25" s="209" t="s">
        <v>38</v>
      </c>
      <c r="C25" s="209"/>
      <c r="D25" s="209"/>
      <c r="E25" s="209"/>
      <c r="F25" s="209"/>
      <c r="G25" s="209"/>
      <c r="H25" s="209"/>
      <c r="I25" s="209"/>
      <c r="J25" s="209"/>
    </row>
    <row r="26" spans="2:10">
      <c r="B26" s="115" t="s">
        <v>39</v>
      </c>
    </row>
    <row r="27" spans="2:10">
      <c r="B27" s="229"/>
    </row>
    <row r="28" spans="2:10">
      <c r="B28" s="229" t="s">
        <v>40</v>
      </c>
    </row>
    <row r="29" spans="2:10">
      <c r="B29" s="229" t="s">
        <v>41</v>
      </c>
    </row>
    <row r="30" spans="2:10">
      <c r="B30" s="229" t="s">
        <v>42</v>
      </c>
    </row>
    <row r="31" spans="2:10">
      <c r="B31" s="229" t="s">
        <v>43</v>
      </c>
    </row>
    <row r="32" spans="2:10">
      <c r="B32" s="229" t="s">
        <v>44</v>
      </c>
    </row>
    <row r="33" spans="2:2">
      <c r="B33" s="229" t="s">
        <v>45</v>
      </c>
    </row>
    <row r="34" spans="2:2">
      <c r="B34" s="229" t="s">
        <v>46</v>
      </c>
    </row>
    <row r="35" spans="2:2">
      <c r="B35" s="229" t="s">
        <v>47</v>
      </c>
    </row>
    <row r="36" spans="2:2">
      <c r="B36" s="229" t="s">
        <v>48</v>
      </c>
    </row>
    <row r="37" spans="2:2">
      <c r="B37" s="229" t="s">
        <v>49</v>
      </c>
    </row>
    <row r="38" spans="2:2">
      <c r="B38" s="229" t="s">
        <v>50</v>
      </c>
    </row>
    <row r="39" spans="2:2">
      <c r="B39" s="229" t="s">
        <v>51</v>
      </c>
    </row>
    <row r="40" spans="2:2">
      <c r="B40" s="229" t="s">
        <v>52</v>
      </c>
    </row>
  </sheetData>
  <mergeCells count="2">
    <mergeCell ref="B25:J25"/>
    <mergeCell ref="K4:K13"/>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B48"/>
  <sheetViews>
    <sheetView showGridLines="0" zoomScale="85" zoomScaleNormal="85" workbookViewId="0">
      <selection activeCell="A7" sqref="A7"/>
    </sheetView>
  </sheetViews>
  <sheetFormatPr defaultColWidth="11" defaultRowHeight="15.5" outlineLevelCol="1"/>
  <cols>
    <col min="2" max="2" width="64.3333333333333" style="228" customWidth="1"/>
  </cols>
  <sheetData>
    <row r="2" spans="2:2">
      <c r="B2" s="209" t="s">
        <v>53</v>
      </c>
    </row>
    <row r="3" spans="2:2">
      <c r="B3" s="209"/>
    </row>
    <row r="4" spans="2:2">
      <c r="B4" s="209"/>
    </row>
    <row r="5" spans="2:2">
      <c r="B5" s="209"/>
    </row>
    <row r="6" spans="2:2">
      <c r="B6" s="209"/>
    </row>
    <row r="7" spans="2:2">
      <c r="B7" s="209"/>
    </row>
    <row r="8" spans="2:2">
      <c r="B8" s="209"/>
    </row>
    <row r="9" spans="2:2">
      <c r="B9" s="209"/>
    </row>
    <row r="10" spans="2:2">
      <c r="B10" s="209"/>
    </row>
    <row r="11" spans="2:2">
      <c r="B11" s="209"/>
    </row>
    <row r="12" spans="2:2">
      <c r="B12" s="209" t="s">
        <v>54</v>
      </c>
    </row>
    <row r="13" spans="2:2">
      <c r="B13" s="209"/>
    </row>
    <row r="14" spans="2:2">
      <c r="B14" s="209"/>
    </row>
    <row r="15" spans="2:2">
      <c r="B15" s="209"/>
    </row>
    <row r="16" spans="2:2">
      <c r="B16" s="209"/>
    </row>
    <row r="17" spans="2:2">
      <c r="B17" s="209"/>
    </row>
    <row r="18" spans="2:2">
      <c r="B18" s="209"/>
    </row>
    <row r="19" spans="2:2">
      <c r="B19" s="209"/>
    </row>
    <row r="20" spans="2:2">
      <c r="B20" s="209"/>
    </row>
    <row r="21" ht="113.5" customHeight="1" spans="2:2">
      <c r="B21" s="209"/>
    </row>
    <row r="22" spans="2:2">
      <c r="B22" s="209" t="s">
        <v>55</v>
      </c>
    </row>
    <row r="23" spans="2:2">
      <c r="B23" s="209"/>
    </row>
    <row r="24" spans="2:2">
      <c r="B24" s="209"/>
    </row>
    <row r="25" spans="2:2">
      <c r="B25" s="209"/>
    </row>
    <row r="26" spans="2:2">
      <c r="B26" s="209"/>
    </row>
    <row r="27" spans="2:2">
      <c r="B27" s="209"/>
    </row>
    <row r="28" spans="2:2">
      <c r="B28" s="209"/>
    </row>
    <row r="29" spans="2:2">
      <c r="B29" s="209"/>
    </row>
    <row r="30" spans="2:2">
      <c r="B30" s="209"/>
    </row>
    <row r="31" spans="2:2">
      <c r="B31" s="209"/>
    </row>
    <row r="32" spans="2:2">
      <c r="B32" s="209" t="s">
        <v>56</v>
      </c>
    </row>
    <row r="33" spans="2:2">
      <c r="B33" s="209"/>
    </row>
    <row r="34" spans="2:2">
      <c r="B34" s="209"/>
    </row>
    <row r="35" spans="2:2">
      <c r="B35" s="209"/>
    </row>
    <row r="36" spans="2:2">
      <c r="B36" s="209"/>
    </row>
    <row r="37" spans="2:2">
      <c r="B37" s="209"/>
    </row>
    <row r="38" spans="2:2">
      <c r="B38" s="209"/>
    </row>
    <row r="39" spans="2:2">
      <c r="B39" s="209"/>
    </row>
    <row r="40" spans="2:2">
      <c r="B40" s="209"/>
    </row>
    <row r="41" ht="86.5" customHeight="1" spans="2:2">
      <c r="B41" s="209"/>
    </row>
    <row r="48" spans="2:2">
      <c r="B48" s="228" t="s">
        <v>57</v>
      </c>
    </row>
  </sheetData>
  <mergeCells count="4">
    <mergeCell ref="B2:B11"/>
    <mergeCell ref="B12:B21"/>
    <mergeCell ref="B22:B31"/>
    <mergeCell ref="B32:B41"/>
  </mergeCells>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U36"/>
  <sheetViews>
    <sheetView showGridLines="0" zoomScale="55" zoomScaleNormal="55" workbookViewId="0">
      <selection activeCell="T24" sqref="T24"/>
    </sheetView>
  </sheetViews>
  <sheetFormatPr defaultColWidth="11" defaultRowHeight="14.5"/>
  <cols>
    <col min="1" max="1" width="10.6666666666667" style="158"/>
    <col min="2" max="2" width="12.6666666666667" style="158" customWidth="1"/>
    <col min="3" max="5" width="10.6666666666667" style="160"/>
    <col min="6" max="6" width="12.1666666666667" style="160" customWidth="1"/>
    <col min="7" max="7" width="11.8333333333333" style="160" customWidth="1"/>
    <col min="8" max="8" width="10.6666666666667" style="160"/>
    <col min="9" max="16384" width="10.6666666666667" style="158"/>
  </cols>
  <sheetData>
    <row r="2" spans="2:21">
      <c r="B2" s="211" t="s">
        <v>58</v>
      </c>
      <c r="C2" s="212" t="s">
        <v>59</v>
      </c>
      <c r="D2" s="213"/>
      <c r="E2" s="214" t="s">
        <v>60</v>
      </c>
      <c r="F2" s="215">
        <v>72</v>
      </c>
    </row>
    <row r="3" ht="29" spans="2:21">
      <c r="B3" s="176" t="s">
        <v>61</v>
      </c>
      <c r="C3" s="176" t="s">
        <v>62</v>
      </c>
      <c r="D3" s="176" t="s">
        <v>63</v>
      </c>
      <c r="E3" s="169" t="s">
        <v>64</v>
      </c>
      <c r="F3" s="169" t="s">
        <v>65</v>
      </c>
      <c r="G3" s="216" t="s">
        <v>66</v>
      </c>
      <c r="H3" s="176" t="s">
        <v>67</v>
      </c>
    </row>
    <row r="4" spans="2:21">
      <c r="B4" s="217"/>
      <c r="C4" s="218" t="s">
        <v>68</v>
      </c>
      <c r="D4" s="218" t="s">
        <v>69</v>
      </c>
      <c r="E4" s="218" t="s">
        <v>70</v>
      </c>
      <c r="F4" s="218"/>
      <c r="G4" s="218"/>
      <c r="H4" s="218"/>
    </row>
    <row r="5" ht="15.5" spans="2:21">
      <c r="B5" s="217"/>
      <c r="C5" s="218"/>
      <c r="D5" s="218"/>
      <c r="E5" s="218"/>
      <c r="F5" s="218"/>
      <c r="G5" s="218"/>
      <c r="H5" s="218"/>
      <c r="U5"/>
    </row>
    <row r="6" spans="2:21">
      <c r="B6" s="219" t="s">
        <v>71</v>
      </c>
      <c r="C6" s="218"/>
      <c r="D6" s="218"/>
      <c r="E6" s="218"/>
      <c r="F6" s="218"/>
      <c r="G6" s="218"/>
      <c r="H6" s="218"/>
    </row>
    <row r="7" spans="2:21">
      <c r="B7" s="220">
        <f>D7/F2</f>
        <v>2.5</v>
      </c>
      <c r="C7" s="218"/>
      <c r="D7" s="218">
        <v>180</v>
      </c>
      <c r="E7" s="218"/>
      <c r="F7" s="218">
        <v>10</v>
      </c>
      <c r="G7" s="218"/>
      <c r="H7" s="218">
        <v>3</v>
      </c>
    </row>
    <row r="8" spans="2:21">
      <c r="B8" s="220">
        <f>D8/F2</f>
        <v>2.98611111111111</v>
      </c>
      <c r="C8" s="218"/>
      <c r="D8" s="218">
        <v>215</v>
      </c>
      <c r="E8" s="218"/>
      <c r="F8" s="218">
        <v>5</v>
      </c>
      <c r="G8" s="218"/>
      <c r="H8" s="218">
        <v>5</v>
      </c>
    </row>
    <row r="9" spans="2:21">
      <c r="B9" s="220">
        <f>D9/F2</f>
        <v>3.47222222222222</v>
      </c>
      <c r="C9" s="218"/>
      <c r="D9" s="218">
        <v>250</v>
      </c>
      <c r="E9" s="218"/>
      <c r="F9" s="218">
        <v>5</v>
      </c>
      <c r="G9" s="218"/>
      <c r="H9" s="218">
        <v>6</v>
      </c>
    </row>
    <row r="10" spans="2:21">
      <c r="B10" s="220">
        <f>D10/F2</f>
        <v>3.95833333333333</v>
      </c>
      <c r="C10" s="218"/>
      <c r="D10" s="218">
        <v>285</v>
      </c>
      <c r="E10" s="218"/>
      <c r="F10" s="218">
        <v>5</v>
      </c>
      <c r="G10" s="218"/>
      <c r="H10" s="218">
        <v>7</v>
      </c>
    </row>
    <row r="11" spans="2:21">
      <c r="B11" s="220">
        <f>D11/F2</f>
        <v>4.44444444444444</v>
      </c>
      <c r="C11" s="218"/>
      <c r="D11" s="221">
        <v>320</v>
      </c>
      <c r="E11" s="218"/>
      <c r="F11" s="218">
        <v>5</v>
      </c>
      <c r="G11" s="218"/>
      <c r="H11" s="218">
        <v>8</v>
      </c>
    </row>
    <row r="12" spans="2:21">
      <c r="B12" s="220">
        <f>D12/F2</f>
        <v>0</v>
      </c>
      <c r="C12" s="218"/>
      <c r="D12" s="218"/>
      <c r="E12" s="218"/>
      <c r="F12" s="218"/>
      <c r="G12" s="218"/>
      <c r="H12" s="218"/>
    </row>
    <row r="13" spans="2:21">
      <c r="B13" s="217"/>
      <c r="C13" s="218"/>
      <c r="D13" s="218"/>
      <c r="E13" s="218"/>
      <c r="F13" s="218"/>
      <c r="G13" s="218"/>
      <c r="H13" s="218"/>
    </row>
    <row r="14" spans="2:21">
      <c r="B14" s="217"/>
      <c r="C14" s="218"/>
      <c r="D14" s="218"/>
      <c r="E14" s="218"/>
      <c r="F14" s="218"/>
      <c r="G14" s="218"/>
      <c r="H14" s="218"/>
    </row>
    <row r="15" spans="2:21">
      <c r="B15" s="217"/>
      <c r="C15" s="218"/>
      <c r="D15" s="218"/>
      <c r="E15" s="218"/>
      <c r="F15" s="218"/>
      <c r="G15" s="218"/>
      <c r="H15" s="218"/>
    </row>
    <row r="16" spans="2:21">
      <c r="B16" s="222" t="s">
        <v>72</v>
      </c>
      <c r="C16" s="223"/>
      <c r="D16" s="223"/>
      <c r="E16" s="223"/>
      <c r="F16" s="223"/>
      <c r="G16" s="223"/>
      <c r="H16" s="224"/>
    </row>
    <row r="21" ht="87.5" customHeight="1" spans="2:8">
      <c r="B21" s="225" t="s">
        <v>73</v>
      </c>
      <c r="C21" s="225"/>
      <c r="D21" s="225"/>
      <c r="E21" s="225"/>
      <c r="F21" s="225"/>
      <c r="G21" s="225"/>
      <c r="H21" s="225"/>
    </row>
    <row r="26" ht="15" customHeight="1" spans="2:8">
      <c r="B26" s="226" t="s">
        <v>74</v>
      </c>
      <c r="C26" s="226"/>
      <c r="D26" s="226"/>
      <c r="E26" s="226"/>
    </row>
    <row r="27" spans="2:8">
      <c r="B27" s="226"/>
      <c r="C27" s="226"/>
      <c r="D27" s="226"/>
      <c r="E27" s="226"/>
    </row>
    <row r="28" spans="2:8">
      <c r="B28" s="226"/>
      <c r="C28" s="226"/>
      <c r="D28" s="226"/>
      <c r="E28" s="226"/>
    </row>
    <row r="29" spans="2:8">
      <c r="B29" s="226"/>
      <c r="C29" s="226"/>
      <c r="D29" s="226"/>
      <c r="E29" s="226"/>
      <c r="F29" s="227" t="s">
        <v>75</v>
      </c>
      <c r="G29" s="227" t="s">
        <v>76</v>
      </c>
      <c r="H29" s="227"/>
    </row>
    <row r="30" spans="2:8">
      <c r="B30" s="226"/>
      <c r="C30" s="226"/>
      <c r="D30" s="226"/>
      <c r="E30" s="226"/>
      <c r="F30" s="227" t="s">
        <v>77</v>
      </c>
      <c r="G30" s="227" t="s">
        <v>78</v>
      </c>
      <c r="H30" s="227"/>
    </row>
    <row r="31" spans="2:8">
      <c r="B31" s="226"/>
      <c r="C31" s="226"/>
      <c r="D31" s="226"/>
      <c r="E31" s="226"/>
    </row>
    <row r="32" spans="2:8">
      <c r="B32" s="226"/>
      <c r="C32" s="226"/>
      <c r="D32" s="226"/>
      <c r="E32" s="226"/>
    </row>
    <row r="33" spans="2:5">
      <c r="B33" s="226"/>
      <c r="C33" s="226"/>
      <c r="D33" s="226"/>
      <c r="E33" s="226"/>
    </row>
    <row r="34" spans="2:5">
      <c r="B34" s="226"/>
      <c r="C34" s="226"/>
      <c r="D34" s="226"/>
      <c r="E34" s="226"/>
    </row>
    <row r="35" spans="2:5">
      <c r="B35" s="226"/>
      <c r="C35" s="226"/>
      <c r="D35" s="226"/>
      <c r="E35" s="226"/>
    </row>
    <row r="36" ht="37" customHeight="1" spans="2:5">
      <c r="B36" s="226"/>
      <c r="C36" s="226"/>
      <c r="D36" s="226"/>
      <c r="E36" s="226"/>
    </row>
  </sheetData>
  <mergeCells count="4">
    <mergeCell ref="C2:D2"/>
    <mergeCell ref="B16:H16"/>
    <mergeCell ref="B21:H21"/>
    <mergeCell ref="B26:E36"/>
  </mergeCells>
  <pageMargins left="0.708661417322835" right="0.708661417322835" top="0.748031496062992" bottom="0.748031496062992" header="0.31496062992126" footer="0.31496062992126"/>
  <pageSetup paperSize="9" scale="130"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B8"/>
  <sheetViews>
    <sheetView showGridLines="0" zoomScale="85" zoomScaleNormal="85" workbookViewId="0">
      <selection activeCell="E5" sqref="E5"/>
    </sheetView>
  </sheetViews>
  <sheetFormatPr defaultColWidth="11" defaultRowHeight="15.5" outlineLevelRow="7" outlineLevelCol="1"/>
  <cols>
    <col min="2" max="2" width="76" customWidth="1"/>
  </cols>
  <sheetData>
    <row r="2" ht="108.5" spans="2:2">
      <c r="B2" s="209" t="s">
        <v>79</v>
      </c>
    </row>
    <row r="3" ht="108.5" spans="2:2">
      <c r="B3" s="209" t="s">
        <v>80</v>
      </c>
    </row>
    <row r="4" ht="46.5" spans="2:2">
      <c r="B4" s="209" t="s">
        <v>81</v>
      </c>
    </row>
    <row r="5" ht="93" spans="2:2">
      <c r="B5" s="209" t="s">
        <v>82</v>
      </c>
    </row>
    <row r="6" ht="77.5" spans="2:2">
      <c r="B6" s="116" t="s">
        <v>83</v>
      </c>
    </row>
    <row r="7" spans="2:2">
      <c r="B7" s="116"/>
    </row>
    <row r="8" spans="2:2">
      <c r="B8" s="210" t="s">
        <v>84</v>
      </c>
    </row>
  </sheetData>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U63"/>
  <sheetViews>
    <sheetView showGridLines="0" zoomScale="40" zoomScaleNormal="40" workbookViewId="0">
      <selection activeCell="T54" sqref="T54"/>
    </sheetView>
  </sheetViews>
  <sheetFormatPr defaultColWidth="11" defaultRowHeight="15.5"/>
  <cols>
    <col min="1" max="4" width="10.6666666666667" style="158"/>
    <col min="5" max="5" width="5.58333333333333" style="158" customWidth="1"/>
    <col min="6" max="6" width="13.5833333333333" style="158" customWidth="1"/>
    <col min="7" max="7" width="5.08333333333333" style="158" customWidth="1"/>
    <col min="8" max="8" width="5.83333333333333" style="158" customWidth="1"/>
    <col min="9" max="9" width="8" style="159" customWidth="1"/>
    <col min="10" max="11" width="5.08333333333333" style="158" customWidth="1"/>
    <col min="12" max="12" width="8" style="159" customWidth="1"/>
    <col min="13" max="14" width="5.08333333333333" style="158" customWidth="1"/>
    <col min="15" max="15" width="8" style="159" customWidth="1"/>
    <col min="16" max="16" width="10.6666666666667" style="158"/>
    <col min="17" max="17" width="10.9166666666667" style="158" customWidth="1"/>
    <col min="18" max="18" width="17.8333333333333" style="158" customWidth="1"/>
    <col min="19" max="19" width="17" style="158" customWidth="1"/>
    <col min="20" max="20" width="20.75" style="158" customWidth="1"/>
    <col min="21" max="21" width="7.83333333333333" style="158" customWidth="1"/>
    <col min="22" max="22" width="7.41666666666667" style="158" customWidth="1"/>
    <col min="23" max="23" width="10.0833333333333" style="158" customWidth="1"/>
    <col min="24" max="24" width="11.5833333333333" style="158" customWidth="1"/>
    <col min="25" max="25" width="11.1666666666667" style="158" customWidth="1"/>
    <col min="26" max="26" width="12" style="158" customWidth="1"/>
    <col min="27" max="27" width="10.9166666666667" style="158" customWidth="1"/>
    <col min="28" max="28" width="7.83333333333333" style="158" customWidth="1"/>
    <col min="29" max="29" width="12.8333333333333" style="158" customWidth="1"/>
    <col min="30" max="30" width="10.75" style="158" customWidth="1"/>
    <col min="31" max="31" width="10.0833333333333" style="158" customWidth="1"/>
    <col min="32" max="32" width="13.25" style="158" customWidth="1"/>
    <col min="33" max="33" width="12" style="158" customWidth="1"/>
    <col min="34" max="34" width="6.75" style="158" customWidth="1"/>
    <col min="35" max="35" width="11.3333333333333" style="158" customWidth="1"/>
    <col min="36" max="36" width="6.75" style="158" customWidth="1"/>
    <col min="37" max="37" width="10.6666666666667" style="158"/>
    <col min="38" max="38" width="25.9166666666667" style="158" customWidth="1"/>
    <col min="39" max="39" width="30.3333333333333" style="158" customWidth="1"/>
    <col min="40" max="41" width="13.25" style="158" customWidth="1"/>
    <col min="42" max="42" width="10.9166666666667" style="158" customWidth="1"/>
    <col min="43" max="43" width="52.5833333333333" style="158" customWidth="1"/>
    <col min="44" max="46" width="10.6666666666667" style="158"/>
    <col min="47" max="47" width="14" style="160" customWidth="1"/>
    <col min="48" max="48" width="5.66666666666667" style="160" customWidth="1"/>
    <col min="49" max="49" width="4.41666666666667" style="160" customWidth="1"/>
    <col min="50" max="50" width="7" style="160" customWidth="1"/>
    <col min="51" max="51" width="6.41666666666667" style="160" customWidth="1"/>
    <col min="52" max="52" width="11.25" style="160" customWidth="1"/>
    <col min="53" max="53" width="6.58333333333333" style="160" customWidth="1"/>
    <col min="54" max="54" width="8.41666666666667" style="160" customWidth="1"/>
    <col min="55" max="55" width="9.41666666666667" style="160" customWidth="1"/>
    <col min="56" max="56" width="6.25" style="160" customWidth="1"/>
    <col min="57" max="57" width="9.16666666666667" style="160" customWidth="1"/>
    <col min="58" max="58" width="5.25" style="160" customWidth="1"/>
    <col min="59" max="59" width="8.16666666666667" style="160" customWidth="1"/>
    <col min="60" max="60" width="4.08333333333333" style="160" customWidth="1"/>
    <col min="61" max="61" width="13.3333333333333" style="160" customWidth="1"/>
    <col min="62" max="62" width="7.25" style="160" customWidth="1"/>
    <col min="63" max="75" width="10.6666666666667" style="158"/>
    <col min="76" max="76" width="17.25" style="158" customWidth="1"/>
    <col min="77" max="77" width="5.08333333333333" style="158" customWidth="1"/>
    <col min="78" max="78" width="4.16666666666667" style="158" customWidth="1"/>
    <col min="79" max="79" width="3.75" style="158" customWidth="1"/>
    <col min="80" max="80" width="7.33333333333333" style="158" customWidth="1"/>
    <col min="81" max="81" width="5.08333333333333" style="158" customWidth="1"/>
    <col min="82" max="82" width="3.75" style="158" customWidth="1"/>
    <col min="83" max="83" width="2.83333333333333" style="158" customWidth="1"/>
    <col min="84" max="84" width="7.33333333333333" style="158" customWidth="1"/>
    <col min="85" max="85" width="5.08333333333333" style="158" customWidth="1"/>
    <col min="86" max="86" width="3.75" style="158" customWidth="1"/>
    <col min="87" max="87" width="2.83333333333333" style="158" customWidth="1"/>
    <col min="88" max="88" width="7.33333333333333" style="158" customWidth="1"/>
    <col min="89" max="89" width="5.08333333333333" style="158" customWidth="1"/>
    <col min="90" max="90" width="3.75" style="158" customWidth="1"/>
    <col min="91" max="91" width="2.83333333333333" style="158" customWidth="1"/>
    <col min="92" max="92" width="7.33333333333333" style="158" customWidth="1"/>
    <col min="93" max="16384" width="10.6666666666667" style="158"/>
  </cols>
  <sheetData>
    <row r="1" spans="1:43">
      <c r="A1" s="161"/>
      <c r="B1" s="161"/>
      <c r="C1" s="161"/>
      <c r="D1" s="161"/>
      <c r="E1" s="161"/>
      <c r="F1" s="161"/>
      <c r="G1" s="161"/>
      <c r="H1" s="161"/>
      <c r="I1" s="162"/>
      <c r="J1" s="161"/>
      <c r="K1" s="161"/>
      <c r="L1" s="162"/>
      <c r="M1" s="161"/>
      <c r="N1" s="161"/>
      <c r="O1" s="162"/>
      <c r="P1" s="161"/>
      <c r="Q1" s="161"/>
      <c r="R1" s="161"/>
      <c r="S1" s="163"/>
      <c r="T1" s="163"/>
      <c r="U1" s="163"/>
      <c r="V1" s="163"/>
      <c r="W1" s="163"/>
      <c r="X1" s="163"/>
      <c r="Y1" s="163"/>
      <c r="Z1" s="163"/>
      <c r="AA1" s="163"/>
      <c r="AB1" s="161"/>
      <c r="AC1" s="161"/>
      <c r="AD1" s="161"/>
      <c r="AE1" s="161"/>
      <c r="AF1" s="161"/>
      <c r="AG1" s="161"/>
      <c r="AH1" s="161"/>
      <c r="AI1" s="161"/>
      <c r="AJ1" s="161"/>
      <c r="AQ1" s="160"/>
    </row>
    <row r="2" spans="1:43">
      <c r="A2" s="161"/>
      <c r="B2" s="161"/>
      <c r="C2" s="161"/>
      <c r="D2" s="161"/>
      <c r="E2" s="161"/>
      <c r="F2" s="161"/>
      <c r="G2" s="161"/>
      <c r="H2" s="161"/>
      <c r="I2" s="162"/>
      <c r="J2" s="161"/>
      <c r="K2" s="161"/>
      <c r="L2" s="162"/>
      <c r="M2" s="161"/>
      <c r="N2" s="161"/>
      <c r="O2" s="162"/>
      <c r="P2" s="161"/>
      <c r="Q2" s="161"/>
      <c r="R2" s="161"/>
      <c r="S2" s="164" t="s">
        <v>85</v>
      </c>
      <c r="T2" s="165">
        <v>44258</v>
      </c>
      <c r="U2" s="166"/>
      <c r="V2" s="166"/>
      <c r="W2" s="166"/>
      <c r="X2" s="167" t="s">
        <v>86</v>
      </c>
      <c r="Y2" s="167"/>
      <c r="Z2" s="166" t="s">
        <v>87</v>
      </c>
      <c r="AA2" s="166"/>
      <c r="AB2" s="166"/>
      <c r="AC2" s="166"/>
      <c r="AD2" s="166"/>
      <c r="AE2" s="166"/>
      <c r="AF2" s="166"/>
      <c r="AG2" s="166"/>
      <c r="AH2" s="166"/>
      <c r="AI2" s="168"/>
      <c r="AJ2" s="161"/>
      <c r="AQ2" s="160"/>
    </row>
    <row r="3" spans="1:43">
      <c r="A3" s="161"/>
      <c r="B3" s="161"/>
      <c r="C3" s="161"/>
      <c r="D3" s="161"/>
      <c r="E3" s="161"/>
      <c r="F3" s="161"/>
      <c r="G3" s="161"/>
      <c r="H3" s="161"/>
      <c r="I3" s="162"/>
      <c r="J3" s="161"/>
      <c r="K3" s="161"/>
      <c r="L3" s="162"/>
      <c r="M3" s="161"/>
      <c r="N3" s="161"/>
      <c r="O3" s="162"/>
      <c r="P3" s="161"/>
      <c r="Q3" s="161"/>
      <c r="R3" s="161"/>
      <c r="S3" s="169" t="s">
        <v>88</v>
      </c>
      <c r="T3" s="170" t="s">
        <v>89</v>
      </c>
      <c r="U3" s="171"/>
      <c r="V3" s="171"/>
      <c r="W3" s="172"/>
      <c r="X3" s="173" t="s">
        <v>90</v>
      </c>
      <c r="Y3" s="174"/>
      <c r="Z3" s="174"/>
      <c r="AA3" s="175"/>
      <c r="AB3" s="173" t="s">
        <v>90</v>
      </c>
      <c r="AC3" s="174"/>
      <c r="AD3" s="174"/>
      <c r="AE3" s="175"/>
      <c r="AF3" s="173" t="s">
        <v>90</v>
      </c>
      <c r="AG3" s="174"/>
      <c r="AH3" s="174"/>
      <c r="AI3" s="175"/>
      <c r="AJ3" s="161"/>
    </row>
    <row r="4" spans="1:43">
      <c r="A4" s="161"/>
      <c r="B4" s="161"/>
      <c r="C4" s="161"/>
      <c r="D4" s="161"/>
      <c r="E4" s="161"/>
      <c r="F4" s="161"/>
      <c r="G4" s="161"/>
      <c r="H4" s="161"/>
      <c r="I4" s="162"/>
      <c r="J4" s="161"/>
      <c r="K4" s="161"/>
      <c r="L4" s="162"/>
      <c r="M4" s="161"/>
      <c r="N4" s="161"/>
      <c r="O4" s="162"/>
      <c r="P4" s="161"/>
      <c r="Q4" s="161"/>
      <c r="R4" s="161"/>
      <c r="S4" s="176" t="s">
        <v>91</v>
      </c>
      <c r="T4" s="173" t="s">
        <v>69</v>
      </c>
      <c r="U4" s="175"/>
      <c r="V4" s="173">
        <v>291</v>
      </c>
      <c r="W4" s="175"/>
      <c r="X4" s="173" t="s">
        <v>92</v>
      </c>
      <c r="Y4" s="174"/>
      <c r="Z4" s="174"/>
      <c r="AA4" s="175"/>
      <c r="AB4" s="173" t="s">
        <v>93</v>
      </c>
      <c r="AC4" s="174"/>
      <c r="AD4" s="174"/>
      <c r="AE4" s="175"/>
      <c r="AF4" s="173" t="s">
        <v>94</v>
      </c>
      <c r="AG4" s="174"/>
      <c r="AH4" s="174"/>
      <c r="AI4" s="175"/>
      <c r="AJ4" s="161"/>
    </row>
    <row r="5" spans="1:43">
      <c r="A5" s="161"/>
      <c r="B5" s="161"/>
      <c r="C5" s="161"/>
      <c r="D5" s="161"/>
      <c r="E5" s="161"/>
      <c r="F5" s="161"/>
      <c r="G5" s="161"/>
      <c r="H5" s="161"/>
      <c r="I5" s="162"/>
      <c r="J5" s="161"/>
      <c r="K5" s="161"/>
      <c r="L5" s="162"/>
      <c r="M5" s="161"/>
      <c r="N5" s="161"/>
      <c r="O5" s="162"/>
      <c r="P5" s="161"/>
      <c r="Q5" s="161"/>
      <c r="R5" s="161"/>
      <c r="S5" s="177">
        <v>72</v>
      </c>
      <c r="T5" s="177" t="s">
        <v>95</v>
      </c>
      <c r="U5" s="177">
        <v>15</v>
      </c>
      <c r="V5" s="177" t="s">
        <v>96</v>
      </c>
      <c r="W5" s="177" t="s">
        <v>97</v>
      </c>
      <c r="X5" s="177" t="s">
        <v>98</v>
      </c>
      <c r="Y5" s="177">
        <v>3.3</v>
      </c>
      <c r="Z5" s="177" t="s">
        <v>96</v>
      </c>
      <c r="AA5" s="177" t="s">
        <v>67</v>
      </c>
      <c r="AB5" s="177" t="s">
        <v>98</v>
      </c>
      <c r="AC5" s="177">
        <v>3.9</v>
      </c>
      <c r="AD5" s="177" t="s">
        <v>96</v>
      </c>
      <c r="AE5" s="177" t="s">
        <v>67</v>
      </c>
      <c r="AF5" s="177" t="s">
        <v>98</v>
      </c>
      <c r="AG5" s="177">
        <v>4.5</v>
      </c>
      <c r="AH5" s="177" t="s">
        <v>96</v>
      </c>
      <c r="AI5" s="177" t="s">
        <v>67</v>
      </c>
      <c r="AJ5" s="161"/>
    </row>
    <row r="6" spans="1:43">
      <c r="A6" s="161"/>
      <c r="B6" s="161"/>
      <c r="C6" s="161"/>
      <c r="D6" s="161"/>
      <c r="E6" s="161"/>
      <c r="F6" s="161"/>
      <c r="G6" s="161"/>
      <c r="H6" s="161"/>
      <c r="I6" s="162"/>
      <c r="J6" s="161"/>
      <c r="K6" s="161"/>
      <c r="L6" s="162"/>
      <c r="M6" s="161"/>
      <c r="N6" s="161"/>
      <c r="O6" s="162"/>
      <c r="P6" s="161"/>
      <c r="Q6" s="161"/>
      <c r="R6" s="161"/>
      <c r="S6" s="178" t="s">
        <v>99</v>
      </c>
      <c r="T6" s="179">
        <v>16</v>
      </c>
      <c r="U6" s="179"/>
      <c r="V6" s="179">
        <v>122</v>
      </c>
      <c r="W6" s="179">
        <v>20</v>
      </c>
      <c r="X6" s="179"/>
      <c r="Y6" s="179"/>
      <c r="Z6" s="179"/>
      <c r="AA6" s="179"/>
      <c r="AB6" s="179"/>
      <c r="AC6" s="179"/>
      <c r="AD6" s="179"/>
      <c r="AE6" s="179"/>
      <c r="AF6" s="179"/>
      <c r="AG6" s="179"/>
      <c r="AH6" s="179"/>
      <c r="AI6" s="179"/>
      <c r="AJ6" s="161"/>
    </row>
    <row r="7" spans="1:43">
      <c r="A7" s="161"/>
      <c r="B7" s="161"/>
      <c r="C7" s="161"/>
      <c r="D7" s="161"/>
      <c r="E7" s="161"/>
      <c r="F7" s="161"/>
      <c r="G7" s="161"/>
      <c r="H7" s="161"/>
      <c r="I7" s="162"/>
      <c r="J7" s="161"/>
      <c r="K7" s="161"/>
      <c r="L7" s="162"/>
      <c r="M7" s="161"/>
      <c r="N7" s="161"/>
      <c r="O7" s="162"/>
      <c r="P7" s="161"/>
      <c r="Q7" s="161"/>
      <c r="R7" s="161"/>
      <c r="S7" s="180"/>
      <c r="T7" s="179">
        <v>18</v>
      </c>
      <c r="U7" s="179"/>
      <c r="V7" s="179">
        <v>133</v>
      </c>
      <c r="W7" s="179">
        <v>30</v>
      </c>
      <c r="X7" s="179"/>
      <c r="Y7" s="179"/>
      <c r="Z7" s="179"/>
      <c r="AA7" s="179"/>
      <c r="AB7" s="179"/>
      <c r="AC7" s="179"/>
      <c r="AD7" s="179"/>
      <c r="AE7" s="179"/>
      <c r="AF7" s="179"/>
      <c r="AG7" s="179"/>
      <c r="AH7" s="179"/>
      <c r="AI7" s="179"/>
      <c r="AJ7" s="161"/>
    </row>
    <row r="8" spans="1:43">
      <c r="A8" s="161"/>
      <c r="B8" s="161"/>
      <c r="C8" s="161"/>
      <c r="D8" s="161"/>
      <c r="E8" s="161"/>
      <c r="F8" s="161"/>
      <c r="G8" s="161"/>
      <c r="H8" s="161"/>
      <c r="I8" s="162"/>
      <c r="J8" s="161"/>
      <c r="K8" s="161"/>
      <c r="L8" s="162"/>
      <c r="M8" s="161"/>
      <c r="N8" s="161"/>
      <c r="O8" s="162"/>
      <c r="P8" s="161"/>
      <c r="Q8" s="161"/>
      <c r="R8" s="161"/>
      <c r="S8" s="181" t="s">
        <v>100</v>
      </c>
      <c r="T8" s="181">
        <v>23</v>
      </c>
      <c r="U8" s="181"/>
      <c r="V8" s="181">
        <v>140</v>
      </c>
      <c r="W8" s="181">
        <v>50</v>
      </c>
      <c r="X8" s="181"/>
      <c r="Y8" s="181"/>
      <c r="Z8" s="181"/>
      <c r="AA8" s="181"/>
      <c r="AB8" s="181"/>
      <c r="AC8" s="181"/>
      <c r="AD8" s="181"/>
      <c r="AE8" s="181"/>
      <c r="AF8" s="181"/>
      <c r="AG8" s="181"/>
      <c r="AH8" s="181"/>
      <c r="AI8" s="181"/>
      <c r="AJ8" s="161"/>
    </row>
    <row r="9" spans="1:43">
      <c r="A9" s="161"/>
      <c r="B9" s="161"/>
      <c r="C9" s="161"/>
      <c r="D9" s="161"/>
      <c r="E9" s="161"/>
      <c r="F9" s="161"/>
      <c r="G9" s="161"/>
      <c r="H9" s="161"/>
      <c r="I9" s="162"/>
      <c r="J9" s="161"/>
      <c r="K9" s="161"/>
      <c r="L9" s="162"/>
      <c r="M9" s="161"/>
      <c r="N9" s="161"/>
      <c r="O9" s="162"/>
      <c r="P9" s="161"/>
      <c r="Q9" s="161"/>
      <c r="R9" s="161"/>
      <c r="S9" s="181"/>
      <c r="T9" s="181">
        <v>42</v>
      </c>
      <c r="U9" s="181"/>
      <c r="V9" s="181">
        <v>162</v>
      </c>
      <c r="W9" s="181">
        <v>70</v>
      </c>
      <c r="X9" s="181"/>
      <c r="Y9" s="181"/>
      <c r="Z9" s="181"/>
      <c r="AA9" s="181"/>
      <c r="AB9" s="181"/>
      <c r="AC9" s="181"/>
      <c r="AD9" s="181"/>
      <c r="AE9" s="181"/>
      <c r="AF9" s="181"/>
      <c r="AG9" s="181"/>
      <c r="AH9" s="181"/>
      <c r="AI9" s="181"/>
      <c r="AJ9" s="161"/>
    </row>
    <row r="10" spans="1:43">
      <c r="A10" s="161"/>
      <c r="B10" s="161"/>
      <c r="C10" s="161"/>
      <c r="D10" s="161"/>
      <c r="E10" s="161"/>
      <c r="F10" s="161"/>
      <c r="G10" s="161"/>
      <c r="H10" s="161"/>
      <c r="I10" s="162"/>
      <c r="J10" s="161"/>
      <c r="K10" s="161"/>
      <c r="L10" s="162"/>
      <c r="M10" s="161"/>
      <c r="N10" s="161"/>
      <c r="O10" s="162"/>
      <c r="P10" s="161"/>
      <c r="Q10" s="161"/>
      <c r="R10" s="161"/>
      <c r="S10" s="182" t="s">
        <v>101</v>
      </c>
      <c r="T10" s="183">
        <v>55</v>
      </c>
      <c r="U10" s="184"/>
      <c r="V10" s="182">
        <v>171</v>
      </c>
      <c r="W10" s="182">
        <v>80</v>
      </c>
      <c r="X10" s="183"/>
      <c r="Y10" s="184"/>
      <c r="Z10" s="182"/>
      <c r="AA10" s="182"/>
      <c r="AB10" s="182"/>
      <c r="AC10" s="182"/>
      <c r="AD10" s="182"/>
      <c r="AE10" s="182"/>
      <c r="AF10" s="182"/>
      <c r="AG10" s="182"/>
      <c r="AH10" s="182"/>
      <c r="AI10" s="182"/>
      <c r="AJ10" s="161"/>
    </row>
    <row r="11" spans="1:43">
      <c r="A11" s="161"/>
      <c r="B11" s="161"/>
      <c r="C11" s="161"/>
      <c r="D11" s="161"/>
      <c r="E11" s="161"/>
      <c r="F11" s="161"/>
      <c r="G11" s="161"/>
      <c r="H11" s="161"/>
      <c r="I11" s="162"/>
      <c r="J11" s="161"/>
      <c r="K11" s="161"/>
      <c r="L11" s="162"/>
      <c r="M11" s="161"/>
      <c r="N11" s="161"/>
      <c r="O11" s="162"/>
      <c r="P11" s="161"/>
      <c r="Q11" s="161"/>
      <c r="R11" s="161"/>
      <c r="S11" s="182"/>
      <c r="T11" s="183">
        <v>59</v>
      </c>
      <c r="U11" s="184"/>
      <c r="V11" s="182">
        <v>182</v>
      </c>
      <c r="W11" s="182">
        <v>80</v>
      </c>
      <c r="X11" s="183"/>
      <c r="Y11" s="184"/>
      <c r="Z11" s="182"/>
      <c r="AA11" s="182"/>
      <c r="AB11" s="182"/>
      <c r="AC11" s="182"/>
      <c r="AD11" s="182"/>
      <c r="AE11" s="182"/>
      <c r="AF11" s="182"/>
      <c r="AG11" s="182"/>
      <c r="AH11" s="182"/>
      <c r="AI11" s="182"/>
      <c r="AJ11" s="161"/>
    </row>
    <row r="12" spans="1:43">
      <c r="A12" s="161"/>
      <c r="B12" s="161"/>
      <c r="C12" s="161"/>
      <c r="D12" s="161"/>
      <c r="E12" s="161"/>
      <c r="F12" s="161"/>
      <c r="G12" s="161"/>
      <c r="H12" s="161"/>
      <c r="I12" s="162"/>
      <c r="J12" s="161"/>
      <c r="K12" s="161"/>
      <c r="L12" s="162"/>
      <c r="M12" s="161"/>
      <c r="N12" s="161"/>
      <c r="O12" s="162"/>
      <c r="P12" s="161"/>
      <c r="Q12" s="161"/>
      <c r="R12" s="161"/>
      <c r="S12" s="185" t="s">
        <v>102</v>
      </c>
      <c r="T12" s="185">
        <v>90</v>
      </c>
      <c r="U12" s="186"/>
      <c r="V12" s="177" t="s">
        <v>96</v>
      </c>
      <c r="W12" s="187" t="s">
        <v>103</v>
      </c>
      <c r="X12" s="185">
        <f>IFERROR(MAX(X6:Y11),0)</f>
        <v>0</v>
      </c>
      <c r="Y12" s="186"/>
      <c r="Z12" s="177" t="s">
        <v>96</v>
      </c>
      <c r="AA12" s="187" t="s">
        <v>103</v>
      </c>
      <c r="AB12" s="188">
        <f>IFERROR(MAX(AB6:AB11),0)</f>
        <v>0</v>
      </c>
      <c r="AC12" s="188"/>
      <c r="AD12" s="177" t="s">
        <v>96</v>
      </c>
      <c r="AE12" s="187" t="s">
        <v>103</v>
      </c>
      <c r="AF12" s="188">
        <f>IFERROR(MAX(AF6:AG11),0)</f>
        <v>0</v>
      </c>
      <c r="AG12" s="188"/>
      <c r="AH12" s="177" t="s">
        <v>96</v>
      </c>
      <c r="AI12" s="187" t="s">
        <v>103</v>
      </c>
      <c r="AJ12" s="161"/>
    </row>
    <row r="13" spans="1:43">
      <c r="A13" s="161"/>
      <c r="B13" s="161"/>
      <c r="C13" s="161"/>
      <c r="D13" s="161"/>
      <c r="E13" s="161"/>
      <c r="F13" s="161"/>
      <c r="G13" s="161"/>
      <c r="H13" s="161"/>
      <c r="I13" s="162"/>
      <c r="J13" s="161"/>
      <c r="K13" s="161"/>
      <c r="L13" s="162"/>
      <c r="M13" s="161"/>
      <c r="N13" s="161"/>
      <c r="O13" s="162"/>
      <c r="P13" s="161"/>
      <c r="Q13" s="161"/>
      <c r="R13" s="161"/>
      <c r="S13" s="189" t="s">
        <v>104</v>
      </c>
      <c r="T13" s="190">
        <v>93</v>
      </c>
      <c r="U13" s="191">
        <f t="shared" ref="U13:U18" si="0">IFERROR(IF(T13="",0,1-T13/$T$12),0)</f>
        <v>-0.0333333333333334</v>
      </c>
      <c r="V13" s="190">
        <v>175</v>
      </c>
      <c r="W13" s="191">
        <f>(V13/MIN(V1:V6))</f>
        <v>1.4344262295082</v>
      </c>
      <c r="X13" s="190"/>
      <c r="Y13" s="191">
        <f t="shared" ref="Y13:Y18" si="1">IFERROR(IF(X13="",0,1-X13/$X$12),0)</f>
        <v>0</v>
      </c>
      <c r="Z13" s="190"/>
      <c r="AA13" s="191"/>
      <c r="AB13" s="190"/>
      <c r="AC13" s="191">
        <f t="shared" ref="AC13:AC18" si="2">IFERROR(IF(AB13="",0,1-AB13/$AB$12),0)</f>
        <v>0</v>
      </c>
      <c r="AD13" s="190"/>
      <c r="AE13" s="191"/>
      <c r="AF13" s="190"/>
      <c r="AG13" s="191">
        <f t="shared" ref="AG13:AG18" si="3">IFERROR(IF(AF13="",0,1-AF13/$AF$12),0)</f>
        <v>0</v>
      </c>
      <c r="AH13" s="190"/>
      <c r="AI13" s="191"/>
      <c r="AJ13" s="161"/>
    </row>
    <row r="14" spans="1:43">
      <c r="A14" s="161"/>
      <c r="B14" s="161"/>
      <c r="C14" s="161"/>
      <c r="D14" s="161"/>
      <c r="E14" s="161"/>
      <c r="F14" s="161"/>
      <c r="G14" s="161"/>
      <c r="H14" s="161"/>
      <c r="I14" s="162"/>
      <c r="J14" s="161"/>
      <c r="K14" s="161"/>
      <c r="L14" s="162"/>
      <c r="M14" s="161"/>
      <c r="N14" s="161"/>
      <c r="O14" s="162"/>
      <c r="P14" s="161"/>
      <c r="Q14" s="161"/>
      <c r="R14" s="161"/>
      <c r="S14" s="192" t="s">
        <v>105</v>
      </c>
      <c r="T14" s="193">
        <v>77</v>
      </c>
      <c r="U14" s="194">
        <f t="shared" si="0"/>
        <v>0.144444444444444</v>
      </c>
      <c r="V14" s="193">
        <v>166</v>
      </c>
      <c r="W14" s="194">
        <f t="shared" ref="W14:W18" si="4">(V14/MIN(V2:V7))</f>
        <v>1.36065573770492</v>
      </c>
      <c r="X14" s="193"/>
      <c r="Y14" s="194">
        <f t="shared" si="1"/>
        <v>0</v>
      </c>
      <c r="Z14" s="193"/>
      <c r="AA14" s="194"/>
      <c r="AB14" s="193"/>
      <c r="AC14" s="194">
        <f t="shared" si="2"/>
        <v>0</v>
      </c>
      <c r="AD14" s="193"/>
      <c r="AE14" s="194"/>
      <c r="AF14" s="193"/>
      <c r="AG14" s="194">
        <f t="shared" si="3"/>
        <v>0</v>
      </c>
      <c r="AH14" s="193"/>
      <c r="AI14" s="194"/>
      <c r="AJ14" s="161"/>
    </row>
    <row r="15" spans="1:43">
      <c r="A15" s="161"/>
      <c r="B15" s="161"/>
      <c r="C15" s="161"/>
      <c r="D15" s="161"/>
      <c r="E15" s="161"/>
      <c r="F15" s="161"/>
      <c r="G15" s="161"/>
      <c r="H15" s="161"/>
      <c r="I15" s="162"/>
      <c r="J15" s="161"/>
      <c r="K15" s="161"/>
      <c r="L15" s="162"/>
      <c r="M15" s="161"/>
      <c r="N15" s="161"/>
      <c r="O15" s="162"/>
      <c r="P15" s="161"/>
      <c r="Q15" s="161"/>
      <c r="R15" s="161"/>
      <c r="S15" s="195" t="s">
        <v>106</v>
      </c>
      <c r="T15" s="196">
        <v>51</v>
      </c>
      <c r="U15" s="197">
        <f t="shared" si="0"/>
        <v>0.433333333333333</v>
      </c>
      <c r="V15" s="196">
        <v>154</v>
      </c>
      <c r="W15" s="197">
        <f t="shared" si="4"/>
        <v>1.26229508196721</v>
      </c>
      <c r="X15" s="196"/>
      <c r="Y15" s="197">
        <f t="shared" si="1"/>
        <v>0</v>
      </c>
      <c r="Z15" s="196"/>
      <c r="AA15" s="197"/>
      <c r="AB15" s="196"/>
      <c r="AC15" s="197">
        <f t="shared" si="2"/>
        <v>0</v>
      </c>
      <c r="AD15" s="196"/>
      <c r="AE15" s="197"/>
      <c r="AF15" s="196"/>
      <c r="AG15" s="197">
        <f t="shared" si="3"/>
        <v>0</v>
      </c>
      <c r="AH15" s="196"/>
      <c r="AI15" s="197"/>
      <c r="AJ15" s="161"/>
    </row>
    <row r="16" spans="1:43">
      <c r="A16" s="161"/>
      <c r="B16" s="161"/>
      <c r="C16" s="161"/>
      <c r="D16" s="161"/>
      <c r="E16" s="161"/>
      <c r="F16" s="161"/>
      <c r="G16" s="161"/>
      <c r="H16" s="161"/>
      <c r="I16" s="162"/>
      <c r="J16" s="161"/>
      <c r="K16" s="161"/>
      <c r="L16" s="162"/>
      <c r="M16" s="161"/>
      <c r="N16" s="161"/>
      <c r="O16" s="162"/>
      <c r="P16" s="161"/>
      <c r="Q16" s="161"/>
      <c r="R16" s="161"/>
      <c r="S16" s="182" t="s">
        <v>107</v>
      </c>
      <c r="T16" s="198">
        <v>33</v>
      </c>
      <c r="U16" s="199">
        <f t="shared" si="0"/>
        <v>0.633333333333333</v>
      </c>
      <c r="V16" s="198">
        <v>149</v>
      </c>
      <c r="W16" s="199">
        <f t="shared" si="4"/>
        <v>1.22131147540984</v>
      </c>
      <c r="X16" s="198"/>
      <c r="Y16" s="199">
        <f t="shared" si="1"/>
        <v>0</v>
      </c>
      <c r="Z16" s="198"/>
      <c r="AA16" s="199"/>
      <c r="AB16" s="198"/>
      <c r="AC16" s="199">
        <f t="shared" si="2"/>
        <v>0</v>
      </c>
      <c r="AD16" s="198"/>
      <c r="AE16" s="199"/>
      <c r="AF16" s="198"/>
      <c r="AG16" s="199">
        <f t="shared" si="3"/>
        <v>0</v>
      </c>
      <c r="AH16" s="198"/>
      <c r="AI16" s="199"/>
      <c r="AJ16" s="161"/>
    </row>
    <row r="17" spans="1:73">
      <c r="A17" s="161"/>
      <c r="B17" s="161"/>
      <c r="C17" s="161"/>
      <c r="D17" s="161"/>
      <c r="E17" s="161"/>
      <c r="F17" s="161"/>
      <c r="G17" s="161"/>
      <c r="H17" s="161"/>
      <c r="I17" s="162"/>
      <c r="J17" s="161"/>
      <c r="K17" s="161"/>
      <c r="L17" s="162"/>
      <c r="M17" s="161"/>
      <c r="N17" s="161"/>
      <c r="O17" s="162"/>
      <c r="P17" s="161"/>
      <c r="Q17" s="161"/>
      <c r="R17" s="161"/>
      <c r="S17" s="179" t="s">
        <v>108</v>
      </c>
      <c r="T17" s="200">
        <v>28</v>
      </c>
      <c r="U17" s="201">
        <f t="shared" si="0"/>
        <v>0.688888888888889</v>
      </c>
      <c r="V17" s="200">
        <v>143</v>
      </c>
      <c r="W17" s="201">
        <f t="shared" si="4"/>
        <v>1.17213114754098</v>
      </c>
      <c r="X17" s="200"/>
      <c r="Y17" s="201">
        <f t="shared" si="1"/>
        <v>0</v>
      </c>
      <c r="Z17" s="200"/>
      <c r="AA17" s="201"/>
      <c r="AB17" s="200"/>
      <c r="AC17" s="201">
        <f t="shared" si="2"/>
        <v>0</v>
      </c>
      <c r="AD17" s="200"/>
      <c r="AE17" s="201"/>
      <c r="AF17" s="200"/>
      <c r="AG17" s="201">
        <f t="shared" si="3"/>
        <v>0</v>
      </c>
      <c r="AH17" s="200"/>
      <c r="AI17" s="201"/>
      <c r="AJ17" s="161"/>
    </row>
    <row r="18" spans="1:73">
      <c r="A18" s="161"/>
      <c r="B18" s="161"/>
      <c r="C18" s="161"/>
      <c r="D18" s="161"/>
      <c r="E18" s="161"/>
      <c r="F18" s="161"/>
      <c r="G18" s="161"/>
      <c r="H18" s="161"/>
      <c r="I18" s="162"/>
      <c r="J18" s="161"/>
      <c r="K18" s="161"/>
      <c r="L18" s="162"/>
      <c r="M18" s="161"/>
      <c r="N18" s="161"/>
      <c r="O18" s="162"/>
      <c r="P18" s="161"/>
      <c r="Q18" s="161"/>
      <c r="R18" s="161"/>
      <c r="S18" s="202" t="s">
        <v>109</v>
      </c>
      <c r="T18" s="203">
        <v>21</v>
      </c>
      <c r="U18" s="204">
        <f t="shared" si="0"/>
        <v>0.766666666666667</v>
      </c>
      <c r="V18" s="203">
        <v>122</v>
      </c>
      <c r="W18" s="204">
        <f t="shared" si="4"/>
        <v>1</v>
      </c>
      <c r="X18" s="203"/>
      <c r="Y18" s="204">
        <f t="shared" si="1"/>
        <v>0</v>
      </c>
      <c r="Z18" s="203"/>
      <c r="AA18" s="204"/>
      <c r="AB18" s="203"/>
      <c r="AC18" s="204">
        <f t="shared" si="2"/>
        <v>0</v>
      </c>
      <c r="AD18" s="203"/>
      <c r="AE18" s="204"/>
      <c r="AF18" s="203"/>
      <c r="AG18" s="204">
        <f t="shared" si="3"/>
        <v>0</v>
      </c>
      <c r="AH18" s="203"/>
      <c r="AI18" s="204"/>
      <c r="AJ18" s="161"/>
    </row>
    <row r="19" ht="29" spans="1:73">
      <c r="A19" s="161"/>
      <c r="B19" s="161"/>
      <c r="C19" s="161"/>
      <c r="D19" s="161"/>
      <c r="E19" s="161"/>
      <c r="F19" s="161"/>
      <c r="G19" s="161"/>
      <c r="H19" s="161"/>
      <c r="I19" s="162"/>
      <c r="J19" s="161"/>
      <c r="K19" s="161"/>
      <c r="L19" s="162"/>
      <c r="M19" s="161"/>
      <c r="N19" s="161"/>
      <c r="O19" s="162"/>
      <c r="P19" s="161"/>
      <c r="Q19" s="161"/>
      <c r="R19" s="161"/>
      <c r="S19" s="205" t="s">
        <v>110</v>
      </c>
      <c r="T19" s="206">
        <f>IF(T12=0,0,(T12-U5)/(20-4))</f>
        <v>4.6875</v>
      </c>
      <c r="U19" s="207"/>
      <c r="V19" s="207"/>
      <c r="W19" s="208"/>
      <c r="X19" s="206">
        <f>IF(X12=0,0,(X12-Y5)/(20-4))</f>
        <v>0</v>
      </c>
      <c r="Y19" s="207"/>
      <c r="Z19" s="207"/>
      <c r="AA19" s="208"/>
      <c r="AB19" s="206">
        <f>IF(AB12=0,0,(AB12-AC5)/(20-4))</f>
        <v>0</v>
      </c>
      <c r="AC19" s="207"/>
      <c r="AD19" s="207"/>
      <c r="AE19" s="208"/>
      <c r="AF19" s="206">
        <f>IF(AF12=0,0,(AF12-AG5)/(20-4))</f>
        <v>0</v>
      </c>
      <c r="AG19" s="207"/>
      <c r="AH19" s="207"/>
      <c r="AI19" s="208"/>
      <c r="AJ19" s="161"/>
    </row>
    <row r="20" ht="29" spans="1:73">
      <c r="A20" s="161"/>
      <c r="B20" s="161"/>
      <c r="C20" s="161"/>
      <c r="D20" s="161"/>
      <c r="E20" s="161"/>
      <c r="F20" s="161"/>
      <c r="G20" s="161"/>
      <c r="H20" s="161"/>
      <c r="I20" s="162"/>
      <c r="J20" s="161"/>
      <c r="K20" s="161"/>
      <c r="L20" s="162"/>
      <c r="M20" s="161"/>
      <c r="N20" s="161"/>
      <c r="O20" s="162"/>
      <c r="P20" s="161"/>
      <c r="Q20" s="161"/>
      <c r="R20" s="161"/>
      <c r="S20" s="205" t="s">
        <v>111</v>
      </c>
      <c r="T20" s="206">
        <f>IF(T12=0,0,(T13-U5)/(20-4))</f>
        <v>4.875</v>
      </c>
      <c r="U20" s="207"/>
      <c r="V20" s="207"/>
      <c r="W20" s="208"/>
      <c r="X20" s="206">
        <f>IF(X12=0,0,(X12-Y5)/20)</f>
        <v>0</v>
      </c>
      <c r="Y20" s="207"/>
      <c r="Z20" s="207"/>
      <c r="AA20" s="208"/>
      <c r="AB20" s="206">
        <f>IF(AB12=0,0,(AB12-AC5)/20)</f>
        <v>0</v>
      </c>
      <c r="AC20" s="207"/>
      <c r="AD20" s="207"/>
      <c r="AE20" s="208"/>
      <c r="AF20" s="206">
        <f>IF(AF12=0,0,(AF12-AG5)/20)</f>
        <v>0</v>
      </c>
      <c r="AG20" s="207"/>
      <c r="AH20" s="207"/>
      <c r="AI20" s="208"/>
      <c r="AJ20" s="161"/>
    </row>
    <row r="21" spans="1:73">
      <c r="A21" s="161"/>
      <c r="B21" s="161"/>
      <c r="C21" s="161"/>
      <c r="D21" s="161"/>
      <c r="E21" s="161"/>
      <c r="F21" s="161"/>
      <c r="G21" s="161"/>
      <c r="H21" s="161"/>
      <c r="I21" s="162"/>
      <c r="J21" s="161"/>
      <c r="K21" s="161"/>
      <c r="L21" s="162"/>
      <c r="M21" s="161"/>
      <c r="N21" s="161"/>
      <c r="O21" s="162"/>
      <c r="P21" s="161"/>
      <c r="Q21" s="161"/>
      <c r="R21" s="161"/>
      <c r="S21" s="161"/>
      <c r="T21" s="161"/>
      <c r="U21" s="161"/>
      <c r="V21" s="161"/>
      <c r="W21" s="161"/>
      <c r="X21" s="161"/>
      <c r="Y21" s="161"/>
      <c r="Z21" s="161"/>
      <c r="AA21" s="161"/>
      <c r="AB21" s="161"/>
      <c r="AC21" s="161"/>
      <c r="AD21" s="161"/>
      <c r="AE21" s="161"/>
      <c r="AF21" s="161"/>
      <c r="AG21" s="161"/>
      <c r="AH21" s="161"/>
      <c r="AI21" s="161"/>
      <c r="AJ21" s="161"/>
    </row>
    <row r="22" spans="1:73">
      <c r="A22" s="161"/>
      <c r="B22" s="161"/>
      <c r="C22" s="161"/>
      <c r="D22" s="161"/>
      <c r="E22" s="161"/>
      <c r="F22" s="161"/>
      <c r="G22" s="161"/>
      <c r="H22" s="161"/>
      <c r="I22" s="162"/>
      <c r="J22" s="161"/>
      <c r="K22" s="161"/>
      <c r="L22" s="162"/>
      <c r="M22" s="161"/>
      <c r="N22" s="161"/>
      <c r="O22" s="162"/>
      <c r="P22" s="161"/>
      <c r="Q22" s="161"/>
      <c r="R22" s="161"/>
    </row>
    <row r="23" spans="1:73">
      <c r="A23" s="161"/>
      <c r="B23" s="161"/>
      <c r="C23" s="161"/>
      <c r="D23" s="161"/>
      <c r="E23" s="161"/>
      <c r="F23" s="161"/>
      <c r="G23" s="161"/>
      <c r="H23" s="161"/>
      <c r="I23" s="162"/>
      <c r="J23" s="161"/>
      <c r="K23" s="161"/>
      <c r="L23" s="162"/>
      <c r="M23" s="161"/>
      <c r="N23" s="161"/>
      <c r="O23" s="162"/>
      <c r="P23" s="161"/>
      <c r="Q23" s="161"/>
      <c r="R23" s="161"/>
    </row>
    <row r="24" spans="1:73">
      <c r="A24" s="161"/>
      <c r="B24" s="161"/>
      <c r="C24" s="161"/>
      <c r="D24" s="161"/>
      <c r="E24" s="161"/>
      <c r="F24" s="161"/>
      <c r="G24" s="161"/>
      <c r="H24" s="161"/>
      <c r="I24" s="162"/>
      <c r="J24" s="161"/>
      <c r="K24" s="161"/>
      <c r="L24" s="162"/>
      <c r="M24" s="161"/>
      <c r="N24" s="161"/>
      <c r="O24" s="162"/>
      <c r="P24" s="161"/>
      <c r="Q24" s="161"/>
      <c r="R24" s="161"/>
    </row>
    <row r="25" spans="1:73">
      <c r="A25" s="161"/>
      <c r="B25" s="161"/>
      <c r="C25" s="161"/>
      <c r="D25" s="161"/>
      <c r="E25" s="161"/>
      <c r="F25" s="161"/>
      <c r="G25" s="161"/>
      <c r="H25" s="161"/>
      <c r="I25" s="162"/>
      <c r="J25" s="161"/>
      <c r="K25" s="161"/>
      <c r="L25" s="162"/>
      <c r="M25" s="161"/>
      <c r="N25" s="161"/>
      <c r="O25" s="162"/>
      <c r="P25" s="161"/>
      <c r="Q25" s="161"/>
      <c r="R25" s="161"/>
    </row>
    <row r="26" spans="1:73">
      <c r="A26" s="161"/>
      <c r="B26" s="161"/>
      <c r="C26" s="161"/>
      <c r="D26" s="161"/>
      <c r="E26" s="161"/>
      <c r="F26" s="161"/>
      <c r="G26" s="161"/>
      <c r="H26" s="161"/>
      <c r="I26" s="162"/>
      <c r="J26" s="161"/>
      <c r="K26" s="161"/>
      <c r="L26" s="162"/>
      <c r="M26" s="161"/>
      <c r="N26" s="161"/>
      <c r="O26" s="162"/>
      <c r="P26" s="161"/>
      <c r="Q26" s="161"/>
      <c r="R26" s="161"/>
    </row>
    <row r="27" spans="1:73">
      <c r="A27" s="161"/>
      <c r="B27" s="161"/>
      <c r="C27" s="161"/>
      <c r="D27" s="161"/>
      <c r="E27" s="161"/>
      <c r="F27" s="161"/>
      <c r="G27" s="161"/>
      <c r="H27" s="161"/>
      <c r="I27" s="162"/>
      <c r="J27" s="161"/>
      <c r="K27" s="161"/>
      <c r="L27" s="162"/>
      <c r="M27" s="161"/>
      <c r="N27" s="161"/>
      <c r="O27" s="162"/>
      <c r="P27" s="161"/>
      <c r="Q27" s="161"/>
      <c r="R27" s="161"/>
    </row>
    <row r="28" spans="1:73">
      <c r="A28" s="161"/>
      <c r="B28" s="161"/>
      <c r="C28" s="161"/>
      <c r="D28" s="161"/>
      <c r="E28" s="161"/>
      <c r="F28" s="161"/>
      <c r="G28" s="161"/>
      <c r="H28" s="161"/>
      <c r="I28" s="162"/>
      <c r="J28" s="161"/>
      <c r="K28" s="161"/>
      <c r="L28" s="162"/>
      <c r="M28" s="161"/>
      <c r="N28" s="161"/>
      <c r="O28" s="162"/>
      <c r="P28" s="161"/>
      <c r="Q28" s="161"/>
      <c r="R28" s="161"/>
    </row>
    <row r="29" spans="1:73">
      <c r="A29" s="161"/>
      <c r="B29" s="161"/>
      <c r="C29" s="161"/>
      <c r="D29" s="161"/>
      <c r="E29" s="161"/>
      <c r="F29" s="161"/>
      <c r="G29" s="161"/>
      <c r="H29" s="161"/>
      <c r="I29" s="162"/>
      <c r="J29" s="161"/>
      <c r="K29" s="161"/>
      <c r="L29" s="162"/>
      <c r="M29" s="161"/>
      <c r="N29" s="161"/>
      <c r="O29" s="162"/>
      <c r="P29" s="161"/>
      <c r="Q29" s="161"/>
      <c r="R29" s="161"/>
    </row>
    <row r="30" spans="1:73">
      <c r="A30" s="161"/>
      <c r="B30" s="161"/>
      <c r="C30" s="161"/>
      <c r="D30" s="161"/>
      <c r="E30" s="161"/>
      <c r="F30" s="161"/>
      <c r="G30" s="161"/>
      <c r="H30" s="161"/>
      <c r="I30" s="162"/>
      <c r="J30" s="161"/>
      <c r="K30" s="161"/>
      <c r="L30" s="162"/>
      <c r="M30" s="161"/>
      <c r="N30" s="161"/>
      <c r="O30" s="162"/>
      <c r="P30" s="161"/>
      <c r="Q30" s="161"/>
      <c r="R30" s="161"/>
    </row>
    <row r="31" spans="1:73">
      <c r="A31" s="161"/>
      <c r="B31" s="161"/>
      <c r="C31" s="161"/>
      <c r="D31" s="161"/>
      <c r="E31" s="161"/>
      <c r="F31" s="161"/>
      <c r="G31" s="161"/>
      <c r="H31" s="161"/>
      <c r="I31" s="162"/>
      <c r="J31" s="161"/>
      <c r="K31" s="161"/>
      <c r="L31" s="162"/>
      <c r="M31" s="161"/>
      <c r="N31" s="161"/>
      <c r="O31" s="162"/>
      <c r="P31" s="161"/>
      <c r="Q31" s="161"/>
      <c r="R31" s="161"/>
    </row>
    <row r="32" spans="1:73">
      <c r="A32" s="161"/>
      <c r="B32" s="161"/>
      <c r="C32" s="161"/>
      <c r="D32" s="161"/>
      <c r="E32" s="161"/>
      <c r="F32" s="161"/>
      <c r="G32" s="161"/>
      <c r="H32" s="161"/>
      <c r="I32" s="162"/>
      <c r="J32" s="161"/>
      <c r="K32" s="161"/>
      <c r="L32" s="162"/>
      <c r="M32" s="161"/>
      <c r="N32" s="161"/>
      <c r="O32" s="162"/>
      <c r="P32" s="161"/>
      <c r="Q32" s="161"/>
      <c r="R32" s="161"/>
      <c r="BU32" s="158">
        <f>MAX(V6:V11)-MIN(V6:V11)</f>
        <v>60</v>
      </c>
    </row>
    <row r="33" spans="1:18">
      <c r="A33" s="161"/>
      <c r="B33" s="161"/>
      <c r="C33" s="161"/>
      <c r="D33" s="161"/>
      <c r="E33" s="161"/>
      <c r="F33" s="161"/>
      <c r="G33" s="161"/>
      <c r="H33" s="161"/>
      <c r="I33" s="162"/>
      <c r="J33" s="161"/>
      <c r="K33" s="161"/>
      <c r="L33" s="162"/>
      <c r="M33" s="161"/>
      <c r="N33" s="161"/>
      <c r="O33" s="162"/>
      <c r="P33" s="161"/>
      <c r="Q33" s="161"/>
      <c r="R33" s="161"/>
    </row>
    <row r="34" spans="1:18">
      <c r="A34" s="161"/>
      <c r="B34" s="161"/>
      <c r="C34" s="161"/>
      <c r="D34" s="161"/>
      <c r="E34" s="161"/>
      <c r="F34" s="161"/>
      <c r="G34" s="161"/>
      <c r="H34" s="161"/>
      <c r="I34" s="162"/>
      <c r="J34" s="161"/>
      <c r="K34" s="161"/>
      <c r="L34" s="162"/>
      <c r="M34" s="161"/>
      <c r="N34" s="161"/>
      <c r="O34" s="162"/>
      <c r="P34" s="161"/>
      <c r="Q34" s="161"/>
      <c r="R34" s="161"/>
    </row>
    <row r="35" spans="1:18">
      <c r="A35" s="161"/>
      <c r="B35" s="161"/>
      <c r="C35" s="161"/>
      <c r="D35" s="161"/>
      <c r="E35" s="161"/>
      <c r="F35" s="161"/>
      <c r="G35" s="161"/>
      <c r="H35" s="161"/>
      <c r="I35" s="162"/>
      <c r="J35" s="161"/>
      <c r="K35" s="161"/>
      <c r="L35" s="162"/>
      <c r="M35" s="161"/>
      <c r="N35" s="161"/>
      <c r="O35" s="162"/>
      <c r="P35" s="161"/>
      <c r="Q35" s="161"/>
      <c r="R35" s="161"/>
    </row>
    <row r="36" spans="1:18">
      <c r="A36" s="161"/>
      <c r="B36" s="161"/>
      <c r="C36" s="161"/>
      <c r="D36" s="161"/>
      <c r="E36" s="161"/>
      <c r="F36" s="161"/>
      <c r="G36" s="161"/>
      <c r="H36" s="161"/>
      <c r="I36" s="162"/>
      <c r="J36" s="161"/>
      <c r="K36" s="161"/>
      <c r="L36" s="162"/>
      <c r="M36" s="161"/>
      <c r="N36" s="161"/>
      <c r="O36" s="162"/>
      <c r="P36" s="161"/>
      <c r="Q36" s="161"/>
      <c r="R36" s="161"/>
    </row>
    <row r="37" spans="1:18">
      <c r="A37" s="161"/>
      <c r="B37" s="161"/>
      <c r="C37" s="161"/>
      <c r="D37" s="161"/>
      <c r="E37" s="161"/>
      <c r="F37" s="161"/>
      <c r="G37" s="161"/>
      <c r="H37" s="161"/>
      <c r="I37" s="162"/>
      <c r="J37" s="161"/>
      <c r="K37" s="161"/>
      <c r="L37" s="162"/>
      <c r="M37" s="161"/>
      <c r="N37" s="161"/>
      <c r="O37" s="162"/>
      <c r="P37" s="161"/>
      <c r="Q37" s="161"/>
      <c r="R37" s="161"/>
    </row>
    <row r="38" spans="1:18">
      <c r="A38" s="161"/>
      <c r="B38" s="161"/>
      <c r="C38" s="161"/>
      <c r="D38" s="161"/>
      <c r="E38" s="161"/>
      <c r="F38" s="161"/>
      <c r="G38" s="161"/>
      <c r="H38" s="161"/>
      <c r="I38" s="162"/>
      <c r="J38" s="161"/>
      <c r="K38" s="161"/>
      <c r="L38" s="162"/>
      <c r="M38" s="161"/>
      <c r="N38" s="161"/>
      <c r="O38" s="162"/>
      <c r="P38" s="161"/>
      <c r="Q38" s="161"/>
      <c r="R38" s="161"/>
    </row>
    <row r="39" spans="1:18">
      <c r="A39" s="161"/>
      <c r="B39" s="161"/>
      <c r="C39" s="161"/>
      <c r="D39" s="161"/>
      <c r="E39" s="161"/>
      <c r="F39" s="161"/>
      <c r="G39" s="161"/>
      <c r="H39" s="161"/>
      <c r="I39" s="162"/>
      <c r="J39" s="161"/>
      <c r="K39" s="161"/>
      <c r="L39" s="162"/>
      <c r="M39" s="161"/>
      <c r="N39" s="161"/>
      <c r="O39" s="162"/>
      <c r="P39" s="161"/>
      <c r="Q39" s="161"/>
      <c r="R39" s="161"/>
    </row>
    <row r="40" spans="1:18">
      <c r="A40" s="161"/>
      <c r="B40" s="161"/>
      <c r="C40" s="161"/>
      <c r="D40" s="161"/>
      <c r="E40" s="161"/>
      <c r="F40" s="161"/>
      <c r="G40" s="161"/>
      <c r="H40" s="161"/>
      <c r="I40" s="162"/>
      <c r="J40" s="161"/>
      <c r="K40" s="161"/>
      <c r="L40" s="162"/>
      <c r="M40" s="161"/>
      <c r="N40" s="161"/>
      <c r="O40" s="162"/>
      <c r="P40" s="161"/>
      <c r="Q40" s="161"/>
      <c r="R40" s="161"/>
    </row>
    <row r="41" spans="1:18">
      <c r="A41" s="161"/>
      <c r="B41" s="161"/>
      <c r="C41" s="161"/>
      <c r="D41" s="161"/>
      <c r="E41" s="161"/>
      <c r="F41" s="161"/>
      <c r="G41" s="161"/>
      <c r="H41" s="161"/>
      <c r="I41" s="162"/>
      <c r="J41" s="161"/>
      <c r="K41" s="161"/>
      <c r="L41" s="162"/>
      <c r="M41" s="161"/>
      <c r="N41" s="161"/>
      <c r="O41" s="162"/>
      <c r="P41" s="161"/>
      <c r="Q41" s="161"/>
      <c r="R41" s="161"/>
    </row>
    <row r="42" spans="1:18">
      <c r="A42" s="161"/>
      <c r="B42" s="161"/>
      <c r="C42" s="161"/>
      <c r="D42" s="161"/>
      <c r="E42" s="161"/>
      <c r="F42" s="161"/>
      <c r="G42" s="161"/>
      <c r="H42" s="161"/>
      <c r="I42" s="162"/>
      <c r="J42" s="161"/>
      <c r="K42" s="161"/>
      <c r="L42" s="162"/>
      <c r="M42" s="161"/>
      <c r="N42" s="161"/>
      <c r="O42" s="162"/>
      <c r="P42" s="161"/>
      <c r="Q42" s="161"/>
      <c r="R42" s="161"/>
    </row>
    <row r="43" spans="1:18">
      <c r="A43" s="161"/>
      <c r="B43" s="161"/>
      <c r="C43" s="161"/>
      <c r="D43" s="161"/>
      <c r="E43" s="161"/>
      <c r="F43" s="161"/>
      <c r="G43" s="161"/>
      <c r="H43" s="161"/>
      <c r="I43" s="162"/>
      <c r="J43" s="161"/>
      <c r="K43" s="161"/>
      <c r="L43" s="162"/>
      <c r="M43" s="161"/>
      <c r="N43" s="161"/>
      <c r="O43" s="162"/>
      <c r="P43" s="161"/>
      <c r="Q43" s="161"/>
      <c r="R43" s="161"/>
    </row>
    <row r="44" spans="1:18">
      <c r="A44" s="161"/>
      <c r="B44" s="161"/>
      <c r="C44" s="161"/>
      <c r="D44" s="161"/>
      <c r="E44" s="161"/>
      <c r="F44" s="161"/>
      <c r="G44" s="161"/>
      <c r="H44" s="161"/>
      <c r="I44" s="162"/>
      <c r="J44" s="161"/>
      <c r="K44" s="161"/>
      <c r="L44" s="162"/>
      <c r="M44" s="161"/>
      <c r="N44" s="161"/>
      <c r="O44" s="162"/>
      <c r="P44" s="161"/>
      <c r="Q44" s="161"/>
      <c r="R44" s="161"/>
    </row>
    <row r="45" spans="1:18">
      <c r="A45" s="161"/>
      <c r="B45" s="161"/>
      <c r="C45" s="161"/>
      <c r="D45" s="161"/>
      <c r="E45" s="161"/>
      <c r="F45" s="161"/>
      <c r="G45" s="161"/>
      <c r="H45" s="161"/>
      <c r="I45" s="162"/>
      <c r="J45" s="161"/>
      <c r="K45" s="161"/>
      <c r="L45" s="162"/>
      <c r="M45" s="161"/>
      <c r="N45" s="161"/>
      <c r="O45" s="162"/>
      <c r="P45" s="161"/>
      <c r="Q45" s="161"/>
      <c r="R45" s="161"/>
    </row>
    <row r="46" spans="1:18">
      <c r="A46" s="161"/>
      <c r="B46" s="161"/>
      <c r="C46" s="161"/>
      <c r="D46" s="161"/>
      <c r="E46" s="161"/>
      <c r="F46" s="161"/>
      <c r="G46" s="161"/>
      <c r="H46" s="161"/>
      <c r="I46" s="162"/>
      <c r="J46" s="161"/>
      <c r="K46" s="161"/>
      <c r="L46" s="162"/>
      <c r="M46" s="161"/>
      <c r="N46" s="161"/>
      <c r="O46" s="162"/>
      <c r="P46" s="161"/>
      <c r="Q46" s="161"/>
      <c r="R46" s="161"/>
    </row>
    <row r="47" spans="1:18">
      <c r="A47" s="161"/>
      <c r="B47" s="161"/>
      <c r="C47" s="161"/>
      <c r="D47" s="161"/>
      <c r="E47" s="161"/>
      <c r="F47" s="161"/>
      <c r="G47" s="161"/>
      <c r="H47" s="161"/>
      <c r="I47" s="162"/>
      <c r="J47" s="161"/>
      <c r="K47" s="161"/>
      <c r="L47" s="162"/>
      <c r="M47" s="161"/>
      <c r="N47" s="161"/>
      <c r="O47" s="162"/>
      <c r="P47" s="161"/>
      <c r="Q47" s="161"/>
      <c r="R47" s="161"/>
    </row>
    <row r="48" spans="1:18">
      <c r="A48" s="161"/>
      <c r="B48" s="161"/>
      <c r="C48" s="161"/>
      <c r="D48" s="161"/>
      <c r="E48" s="161"/>
      <c r="F48" s="161"/>
      <c r="G48" s="161"/>
      <c r="H48" s="161"/>
      <c r="I48" s="162"/>
      <c r="J48" s="161"/>
      <c r="K48" s="161"/>
      <c r="L48" s="162"/>
      <c r="M48" s="161"/>
      <c r="N48" s="161"/>
      <c r="O48" s="162"/>
      <c r="P48" s="161"/>
      <c r="Q48" s="161"/>
      <c r="R48" s="161"/>
    </row>
    <row r="49" spans="1:18">
      <c r="A49" s="161"/>
      <c r="B49" s="161"/>
      <c r="C49" s="161"/>
      <c r="D49" s="161"/>
      <c r="E49" s="161"/>
      <c r="F49" s="161"/>
      <c r="G49" s="161"/>
      <c r="H49" s="161"/>
      <c r="I49" s="162"/>
      <c r="J49" s="161"/>
      <c r="K49" s="161"/>
      <c r="L49" s="162"/>
      <c r="M49" s="161"/>
      <c r="N49" s="161"/>
      <c r="O49" s="162"/>
      <c r="P49" s="161"/>
      <c r="Q49" s="161"/>
      <c r="R49" s="161"/>
    </row>
    <row r="50" spans="1:18">
      <c r="A50" s="161"/>
      <c r="B50" s="161"/>
      <c r="C50" s="161"/>
      <c r="D50" s="161"/>
      <c r="E50" s="161"/>
      <c r="F50" s="161"/>
      <c r="G50" s="161"/>
      <c r="H50" s="161"/>
      <c r="I50" s="162"/>
      <c r="J50" s="161"/>
      <c r="K50" s="161"/>
      <c r="L50" s="162"/>
      <c r="M50" s="161"/>
      <c r="N50" s="161"/>
      <c r="O50" s="162"/>
      <c r="P50" s="161"/>
      <c r="Q50" s="161"/>
      <c r="R50" s="161"/>
    </row>
    <row r="51" spans="1:18">
      <c r="A51" s="161"/>
      <c r="B51" s="161"/>
      <c r="C51" s="161"/>
      <c r="D51" s="161"/>
      <c r="E51" s="161"/>
      <c r="F51" s="161"/>
      <c r="G51" s="161"/>
      <c r="H51" s="161"/>
      <c r="I51" s="162"/>
      <c r="J51" s="161"/>
      <c r="K51" s="161"/>
      <c r="L51" s="162"/>
      <c r="M51" s="161"/>
      <c r="N51" s="161"/>
      <c r="O51" s="162"/>
      <c r="P51" s="161"/>
      <c r="Q51" s="161"/>
      <c r="R51" s="161"/>
    </row>
    <row r="52" spans="1:18">
      <c r="A52" s="161"/>
      <c r="B52" s="161"/>
      <c r="C52" s="161"/>
      <c r="D52" s="161"/>
      <c r="E52" s="161"/>
      <c r="F52" s="161"/>
      <c r="G52" s="161"/>
      <c r="H52" s="161"/>
      <c r="I52" s="162"/>
      <c r="J52" s="161"/>
      <c r="K52" s="161"/>
      <c r="L52" s="162"/>
      <c r="M52" s="161"/>
      <c r="N52" s="161"/>
      <c r="O52" s="162"/>
      <c r="P52" s="161"/>
      <c r="Q52" s="161"/>
      <c r="R52" s="161"/>
    </row>
    <row r="53" spans="1:18">
      <c r="A53" s="161"/>
      <c r="B53" s="161"/>
      <c r="C53" s="161"/>
      <c r="D53" s="161"/>
      <c r="E53" s="161"/>
      <c r="F53" s="161"/>
      <c r="G53" s="161"/>
      <c r="H53" s="161"/>
      <c r="I53" s="162"/>
      <c r="J53" s="161"/>
      <c r="K53" s="161"/>
      <c r="L53" s="162"/>
      <c r="M53" s="161"/>
      <c r="N53" s="161"/>
      <c r="O53" s="162"/>
      <c r="P53" s="161"/>
      <c r="Q53" s="161"/>
      <c r="R53" s="161"/>
    </row>
    <row r="54" spans="1:18">
      <c r="A54" s="161"/>
      <c r="B54" s="161"/>
      <c r="C54" s="161"/>
      <c r="D54" s="161"/>
      <c r="E54" s="161"/>
      <c r="F54" s="161"/>
      <c r="G54" s="161"/>
      <c r="H54" s="161"/>
      <c r="I54" s="162"/>
      <c r="J54" s="161"/>
      <c r="K54" s="161"/>
      <c r="L54" s="162"/>
      <c r="M54" s="161"/>
      <c r="N54" s="161"/>
      <c r="O54" s="162"/>
      <c r="P54" s="161"/>
      <c r="Q54" s="161"/>
      <c r="R54" s="161"/>
    </row>
    <row r="55" spans="1:18">
      <c r="A55" s="161"/>
      <c r="B55" s="161"/>
      <c r="C55" s="161"/>
      <c r="D55" s="161"/>
      <c r="E55" s="161"/>
      <c r="F55" s="161"/>
      <c r="G55" s="161"/>
      <c r="H55" s="161"/>
      <c r="I55" s="162"/>
      <c r="J55" s="161"/>
      <c r="K55" s="161"/>
      <c r="L55" s="162"/>
      <c r="M55" s="161"/>
      <c r="N55" s="161"/>
      <c r="O55" s="162"/>
      <c r="P55" s="161"/>
      <c r="Q55" s="161"/>
      <c r="R55" s="161"/>
    </row>
    <row r="56" spans="1:18">
      <c r="A56" s="161"/>
      <c r="B56" s="161"/>
      <c r="C56" s="161"/>
      <c r="D56" s="161"/>
      <c r="E56" s="161"/>
      <c r="F56" s="161"/>
      <c r="G56" s="161"/>
      <c r="H56" s="161"/>
      <c r="I56" s="162"/>
      <c r="J56" s="161"/>
      <c r="K56" s="161"/>
      <c r="L56" s="162"/>
      <c r="M56" s="161"/>
      <c r="N56" s="161"/>
      <c r="O56" s="162"/>
      <c r="P56" s="161"/>
      <c r="Q56" s="161"/>
      <c r="R56" s="161"/>
    </row>
    <row r="57" spans="1:18">
      <c r="A57" s="161"/>
      <c r="B57" s="161"/>
      <c r="C57" s="161"/>
      <c r="D57" s="161"/>
      <c r="E57" s="161"/>
      <c r="F57" s="161"/>
      <c r="G57" s="161"/>
      <c r="H57" s="161"/>
      <c r="I57" s="162"/>
      <c r="J57" s="161"/>
      <c r="K57" s="161"/>
      <c r="L57" s="162"/>
      <c r="M57" s="161"/>
      <c r="N57" s="161"/>
      <c r="O57" s="162"/>
      <c r="P57" s="161"/>
      <c r="Q57" s="161"/>
      <c r="R57" s="161"/>
    </row>
    <row r="58" spans="1:18">
      <c r="A58" s="161"/>
      <c r="B58" s="161"/>
      <c r="C58" s="161"/>
      <c r="D58" s="161"/>
      <c r="E58" s="161"/>
      <c r="F58" s="161"/>
      <c r="G58" s="161"/>
      <c r="H58" s="161"/>
      <c r="I58" s="162"/>
      <c r="J58" s="161"/>
      <c r="K58" s="161"/>
      <c r="L58" s="162"/>
      <c r="M58" s="161"/>
      <c r="N58" s="161"/>
      <c r="O58" s="162"/>
      <c r="P58" s="161"/>
      <c r="Q58" s="161"/>
      <c r="R58" s="161"/>
    </row>
    <row r="59" spans="1:18">
      <c r="A59" s="161"/>
      <c r="B59" s="161"/>
      <c r="C59" s="161"/>
      <c r="D59" s="161"/>
      <c r="E59" s="161"/>
      <c r="F59" s="161"/>
      <c r="G59" s="161"/>
      <c r="H59" s="161"/>
      <c r="I59" s="162"/>
      <c r="J59" s="161"/>
      <c r="K59" s="161"/>
      <c r="L59" s="162"/>
      <c r="M59" s="161"/>
      <c r="N59" s="161"/>
      <c r="O59" s="162"/>
      <c r="P59" s="161"/>
      <c r="Q59" s="161"/>
      <c r="R59" s="161"/>
    </row>
    <row r="60" spans="1:18">
      <c r="A60" s="161"/>
      <c r="B60" s="161"/>
      <c r="C60" s="161"/>
      <c r="D60" s="161"/>
      <c r="E60" s="161"/>
      <c r="F60" s="161"/>
      <c r="G60" s="161"/>
      <c r="H60" s="161"/>
      <c r="I60" s="162"/>
      <c r="J60" s="161"/>
      <c r="K60" s="161"/>
      <c r="L60" s="162"/>
      <c r="M60" s="161"/>
      <c r="N60" s="161"/>
      <c r="O60" s="162"/>
      <c r="P60" s="161"/>
      <c r="Q60" s="161"/>
      <c r="R60" s="161"/>
    </row>
    <row r="61" spans="1:18">
      <c r="A61" s="161"/>
      <c r="B61" s="161"/>
      <c r="C61" s="161"/>
      <c r="D61" s="161"/>
      <c r="E61" s="161"/>
      <c r="F61" s="161"/>
      <c r="G61" s="161"/>
      <c r="H61" s="161"/>
      <c r="I61" s="162"/>
      <c r="J61" s="161"/>
      <c r="K61" s="161"/>
      <c r="L61" s="162"/>
      <c r="M61" s="161"/>
      <c r="N61" s="161"/>
      <c r="O61" s="162"/>
      <c r="P61" s="161"/>
      <c r="Q61" s="161"/>
      <c r="R61" s="161"/>
    </row>
    <row r="62" spans="1:18">
      <c r="A62" s="161"/>
      <c r="B62" s="161"/>
      <c r="C62" s="161"/>
      <c r="D62" s="161"/>
      <c r="E62" s="161"/>
      <c r="F62" s="161"/>
      <c r="G62" s="161"/>
      <c r="H62" s="161"/>
      <c r="I62" s="162"/>
      <c r="J62" s="161"/>
      <c r="K62" s="161"/>
      <c r="L62" s="162"/>
      <c r="M62" s="161"/>
      <c r="N62" s="161"/>
      <c r="O62" s="162"/>
      <c r="P62" s="161"/>
      <c r="Q62" s="161"/>
      <c r="R62" s="161"/>
    </row>
    <row r="63" spans="1:18">
      <c r="A63" s="161"/>
      <c r="B63" s="161"/>
      <c r="C63" s="161"/>
      <c r="D63" s="161"/>
      <c r="E63" s="161"/>
      <c r="F63" s="161"/>
      <c r="G63" s="161"/>
      <c r="H63" s="161"/>
      <c r="I63" s="162"/>
      <c r="J63" s="161"/>
      <c r="K63" s="161"/>
      <c r="L63" s="162"/>
      <c r="M63" s="161"/>
      <c r="N63" s="161"/>
      <c r="O63" s="162"/>
      <c r="P63" s="161"/>
      <c r="Q63" s="161"/>
      <c r="R63" s="161"/>
    </row>
  </sheetData>
  <mergeCells count="51">
    <mergeCell ref="T2:W2"/>
    <mergeCell ref="X2:Y2"/>
    <mergeCell ref="Z2:AI2"/>
    <mergeCell ref="T3:W3"/>
    <mergeCell ref="X3:AA3"/>
    <mergeCell ref="AB3:AE3"/>
    <mergeCell ref="AF3:AI3"/>
    <mergeCell ref="T4:U4"/>
    <mergeCell ref="V4:W4"/>
    <mergeCell ref="X4:AA4"/>
    <mergeCell ref="AB4:AE4"/>
    <mergeCell ref="AF4:AI4"/>
    <mergeCell ref="T6:U6"/>
    <mergeCell ref="X6:Y6"/>
    <mergeCell ref="AB6:AC6"/>
    <mergeCell ref="AF6:AG6"/>
    <mergeCell ref="T7:U7"/>
    <mergeCell ref="X7:Y7"/>
    <mergeCell ref="AB7:AC7"/>
    <mergeCell ref="AF7:AG7"/>
    <mergeCell ref="T8:U8"/>
    <mergeCell ref="X8:Y8"/>
    <mergeCell ref="AB8:AC8"/>
    <mergeCell ref="AF8:AG8"/>
    <mergeCell ref="T9:U9"/>
    <mergeCell ref="X9:Y9"/>
    <mergeCell ref="AB9:AC9"/>
    <mergeCell ref="AF9:AG9"/>
    <mergeCell ref="T10:U10"/>
    <mergeCell ref="X10:Y10"/>
    <mergeCell ref="AB10:AC10"/>
    <mergeCell ref="AF10:AG10"/>
    <mergeCell ref="T11:U11"/>
    <mergeCell ref="X11:Y11"/>
    <mergeCell ref="AB11:AC11"/>
    <mergeCell ref="AF11:AG11"/>
    <mergeCell ref="T12:U12"/>
    <mergeCell ref="X12:Y12"/>
    <mergeCell ref="AB12:AC12"/>
    <mergeCell ref="AF12:AG12"/>
    <mergeCell ref="T19:W19"/>
    <mergeCell ref="X19:AA19"/>
    <mergeCell ref="AB19:AE19"/>
    <mergeCell ref="AF19:AI19"/>
    <mergeCell ref="T20:W20"/>
    <mergeCell ref="X20:AA20"/>
    <mergeCell ref="AB20:AE20"/>
    <mergeCell ref="AF20:AI20"/>
    <mergeCell ref="S6:S7"/>
    <mergeCell ref="S8:S9"/>
    <mergeCell ref="S10:S11"/>
  </mergeCells>
  <conditionalFormatting sqref="T13:T18">
    <cfRule type="colorScale" priority="35">
      <colorScale>
        <cfvo type="min"/>
        <cfvo type="percentile" val="50"/>
        <cfvo type="max"/>
        <color rgb="FF63BE7B"/>
        <color rgb="FFFFEB84"/>
        <color rgb="FFF8696B"/>
      </colorScale>
    </cfRule>
  </conditionalFormatting>
  <conditionalFormatting sqref="U13:U18">
    <cfRule type="colorScale" priority="31">
      <colorScale>
        <cfvo type="min"/>
        <cfvo type="percentile" val="50"/>
        <cfvo type="max"/>
        <color rgb="FFF8696B"/>
        <color rgb="FFFFEB84"/>
        <color rgb="FF63BE7B"/>
      </colorScale>
    </cfRule>
  </conditionalFormatting>
  <conditionalFormatting sqref="V13:V18">
    <cfRule type="colorScale" priority="25">
      <colorScale>
        <cfvo type="min"/>
        <cfvo type="percentile" val="50"/>
        <cfvo type="max"/>
        <color rgb="FF63BE7B"/>
        <color rgb="FFFFEB84"/>
        <color rgb="FFF8696B"/>
      </colorScale>
    </cfRule>
    <cfRule type="colorScale" priority="29">
      <colorScale>
        <cfvo type="min"/>
        <cfvo type="percentile" val="50"/>
        <cfvo type="max"/>
        <color rgb="FFF8696B"/>
        <color rgb="FFFFEB84"/>
        <color rgb="FF63BE7B"/>
      </colorScale>
    </cfRule>
  </conditionalFormatting>
  <conditionalFormatting sqref="W13:W18">
    <cfRule type="colorScale" priority="10">
      <colorScale>
        <cfvo type="min"/>
        <cfvo type="percentile" val="50"/>
        <cfvo type="max"/>
        <color rgb="FF63BE7B"/>
        <color rgb="FFFFEB84"/>
        <color rgb="FFF8696B"/>
      </colorScale>
    </cfRule>
    <cfRule type="colorScale" priority="11">
      <colorScale>
        <cfvo type="min"/>
        <cfvo type="percentile" val="50"/>
        <cfvo type="max"/>
        <color rgb="FFF8696B"/>
        <color rgb="FFFFEB84"/>
        <color rgb="FF63BE7B"/>
      </colorScale>
    </cfRule>
    <cfRule type="colorScale" priority="12">
      <colorScale>
        <cfvo type="min"/>
        <cfvo type="percentile" val="50"/>
        <cfvo type="max"/>
        <color rgb="FFF8696B"/>
        <color rgb="FFFFEB84"/>
        <color rgb="FF63BE7B"/>
      </colorScale>
    </cfRule>
  </conditionalFormatting>
  <conditionalFormatting sqref="X13:X18">
    <cfRule type="colorScale" priority="28">
      <colorScale>
        <cfvo type="min"/>
        <cfvo type="percentile" val="50"/>
        <cfvo type="max"/>
        <color rgb="FF63BE7B"/>
        <color rgb="FFFFEB84"/>
        <color rgb="FFF8696B"/>
      </colorScale>
    </cfRule>
  </conditionalFormatting>
  <conditionalFormatting sqref="Y13:Y18">
    <cfRule type="colorScale" priority="15">
      <colorScale>
        <cfvo type="min"/>
        <cfvo type="percentile" val="50"/>
        <cfvo type="max"/>
        <color rgb="FFF8696B"/>
        <color rgb="FFFFEB84"/>
        <color rgb="FF63BE7B"/>
      </colorScale>
    </cfRule>
  </conditionalFormatting>
  <conditionalFormatting sqref="Z13:Z18">
    <cfRule type="colorScale" priority="23">
      <colorScale>
        <cfvo type="min"/>
        <cfvo type="percentile" val="50"/>
        <cfvo type="max"/>
        <color rgb="FF63BE7B"/>
        <color rgb="FFFFEB84"/>
        <color rgb="FFF8696B"/>
      </colorScale>
    </cfRule>
    <cfRule type="colorScale" priority="24">
      <colorScale>
        <cfvo type="min"/>
        <cfvo type="percentile" val="50"/>
        <cfvo type="max"/>
        <color rgb="FFF8696B"/>
        <color rgb="FFFFEB84"/>
        <color rgb="FF63BE7B"/>
      </colorScale>
    </cfRule>
    <cfRule type="colorScale" priority="34">
      <colorScale>
        <cfvo type="min"/>
        <cfvo type="percentile" val="50"/>
        <cfvo type="max"/>
        <color rgb="FF63BE7B"/>
        <color rgb="FFFFEB84"/>
        <color rgb="FFF8696B"/>
      </colorScale>
    </cfRule>
  </conditionalFormatting>
  <conditionalFormatting sqref="AA13:AA18">
    <cfRule type="colorScale" priority="7">
      <colorScale>
        <cfvo type="min"/>
        <cfvo type="percentile" val="50"/>
        <cfvo type="max"/>
        <color rgb="FF63BE7B"/>
        <color rgb="FFFFEB84"/>
        <color rgb="FFF8696B"/>
      </colorScale>
    </cfRule>
    <cfRule type="colorScale" priority="8">
      <colorScale>
        <cfvo type="min"/>
        <cfvo type="percentile" val="50"/>
        <cfvo type="max"/>
        <color rgb="FFF8696B"/>
        <color rgb="FFFFEB84"/>
        <color rgb="FF63BE7B"/>
      </colorScale>
    </cfRule>
    <cfRule type="colorScale" priority="9">
      <colorScale>
        <cfvo type="min"/>
        <cfvo type="percentile" val="50"/>
        <cfvo type="max"/>
        <color rgb="FFF8696B"/>
        <color rgb="FFFFEB84"/>
        <color rgb="FF63BE7B"/>
      </colorScale>
    </cfRule>
  </conditionalFormatting>
  <conditionalFormatting sqref="AB13:AB18">
    <cfRule type="colorScale" priority="27">
      <colorScale>
        <cfvo type="min"/>
        <cfvo type="percentile" val="50"/>
        <cfvo type="max"/>
        <color rgb="FF63BE7B"/>
        <color rgb="FFFFEB84"/>
        <color rgb="FFF8696B"/>
      </colorScale>
    </cfRule>
  </conditionalFormatting>
  <conditionalFormatting sqref="AC13:AC18">
    <cfRule type="colorScale" priority="14">
      <colorScale>
        <cfvo type="min"/>
        <cfvo type="percentile" val="50"/>
        <cfvo type="max"/>
        <color rgb="FFF8696B"/>
        <color rgb="FFFFEB84"/>
        <color rgb="FF63BE7B"/>
      </colorScale>
    </cfRule>
  </conditionalFormatting>
  <conditionalFormatting sqref="AD13:AD18">
    <cfRule type="colorScale" priority="20">
      <colorScale>
        <cfvo type="min"/>
        <cfvo type="percentile" val="50"/>
        <cfvo type="max"/>
        <color rgb="FF63BE7B"/>
        <color rgb="FFFFEB84"/>
        <color rgb="FFF8696B"/>
      </colorScale>
    </cfRule>
    <cfRule type="colorScale" priority="21">
      <colorScale>
        <cfvo type="min"/>
        <cfvo type="percentile" val="50"/>
        <cfvo type="max"/>
        <color rgb="FFF8696B"/>
        <color rgb="FFFFEB84"/>
        <color rgb="FF63BE7B"/>
      </colorScale>
    </cfRule>
    <cfRule type="colorScale" priority="22">
      <colorScale>
        <cfvo type="min"/>
        <cfvo type="percentile" val="50"/>
        <cfvo type="max"/>
        <color rgb="FF63BE7B"/>
        <color rgb="FFFFEB84"/>
        <color rgb="FFF8696B"/>
      </colorScale>
    </cfRule>
    <cfRule type="colorScale" priority="33">
      <colorScale>
        <cfvo type="min"/>
        <cfvo type="percentile" val="50"/>
        <cfvo type="max"/>
        <color rgb="FF63BE7B"/>
        <color rgb="FFFFEB84"/>
        <color rgb="FFF8696B"/>
      </colorScale>
    </cfRule>
  </conditionalFormatting>
  <conditionalFormatting sqref="AE13:AE18">
    <cfRule type="colorScale" priority="4">
      <colorScale>
        <cfvo type="min"/>
        <cfvo type="percentile" val="50"/>
        <cfvo type="max"/>
        <color rgb="FF63BE7B"/>
        <color rgb="FFFFEB84"/>
        <color rgb="FFF8696B"/>
      </colorScale>
    </cfRule>
    <cfRule type="colorScale" priority="5">
      <colorScale>
        <cfvo type="min"/>
        <cfvo type="percentile" val="50"/>
        <cfvo type="max"/>
        <color rgb="FFF8696B"/>
        <color rgb="FFFFEB84"/>
        <color rgb="FF63BE7B"/>
      </colorScale>
    </cfRule>
    <cfRule type="colorScale" priority="6">
      <colorScale>
        <cfvo type="min"/>
        <cfvo type="percentile" val="50"/>
        <cfvo type="max"/>
        <color rgb="FFF8696B"/>
        <color rgb="FFFFEB84"/>
        <color rgb="FF63BE7B"/>
      </colorScale>
    </cfRule>
  </conditionalFormatting>
  <conditionalFormatting sqref="AF13:AF18">
    <cfRule type="colorScale" priority="26">
      <colorScale>
        <cfvo type="min"/>
        <cfvo type="percentile" val="50"/>
        <cfvo type="max"/>
        <color rgb="FF63BE7B"/>
        <color rgb="FFFFEB84"/>
        <color rgb="FFF8696B"/>
      </colorScale>
    </cfRule>
  </conditionalFormatting>
  <conditionalFormatting sqref="AG13:AG18">
    <cfRule type="colorScale" priority="13">
      <colorScale>
        <cfvo type="min"/>
        <cfvo type="percentile" val="50"/>
        <cfvo type="max"/>
        <color rgb="FFF8696B"/>
        <color rgb="FFFFEB84"/>
        <color rgb="FF63BE7B"/>
      </colorScale>
    </cfRule>
  </conditionalFormatting>
  <conditionalFormatting sqref="AH13:AH18">
    <cfRule type="colorScale" priority="16">
      <colorScale>
        <cfvo type="min"/>
        <cfvo type="percentile" val="50"/>
        <cfvo type="max"/>
        <color rgb="FF63BE7B"/>
        <color rgb="FFFFEB84"/>
        <color rgb="FFF8696B"/>
      </colorScale>
    </cfRule>
    <cfRule type="colorScale" priority="17">
      <colorScale>
        <cfvo type="min"/>
        <cfvo type="percentile" val="50"/>
        <cfvo type="max"/>
        <color rgb="FFF8696B"/>
        <color rgb="FFFFEB84"/>
        <color rgb="FF63BE7B"/>
      </colorScale>
    </cfRule>
    <cfRule type="colorScale" priority="18">
      <colorScale>
        <cfvo type="min"/>
        <cfvo type="percentile" val="50"/>
        <cfvo type="max"/>
        <color rgb="FF63BE7B"/>
        <color rgb="FFFFEB84"/>
        <color rgb="FFF8696B"/>
      </colorScale>
    </cfRule>
    <cfRule type="colorScale" priority="19">
      <colorScale>
        <cfvo type="min"/>
        <cfvo type="percentile" val="50"/>
        <cfvo type="max"/>
        <color rgb="FF63BE7B"/>
        <color rgb="FFFFEB84"/>
        <color rgb="FFF8696B"/>
      </colorScale>
    </cfRule>
    <cfRule type="colorScale" priority="32">
      <colorScale>
        <cfvo type="min"/>
        <cfvo type="percentile" val="50"/>
        <cfvo type="max"/>
        <color rgb="FF63BE7B"/>
        <color rgb="FFFFEB84"/>
        <color rgb="FFF8696B"/>
      </colorScale>
    </cfRule>
  </conditionalFormatting>
  <conditionalFormatting sqref="AI13:AI18">
    <cfRule type="colorScale" priority="1">
      <colorScale>
        <cfvo type="min"/>
        <cfvo type="percentile" val="50"/>
        <cfvo type="max"/>
        <color rgb="FF63BE7B"/>
        <color rgb="FFFFEB84"/>
        <color rgb="FFF8696B"/>
      </colorScale>
    </cfRule>
    <cfRule type="colorScale" priority="2">
      <colorScale>
        <cfvo type="min"/>
        <cfvo type="percentile" val="50"/>
        <cfvo type="max"/>
        <color rgb="FFF8696B"/>
        <color rgb="FFFFEB84"/>
        <color rgb="FF63BE7B"/>
      </colorScale>
    </cfRule>
    <cfRule type="colorScale" priority="3">
      <colorScale>
        <cfvo type="min"/>
        <cfvo type="percentile" val="50"/>
        <cfvo type="max"/>
        <color rgb="FFF8696B"/>
        <color rgb="FFFFEB84"/>
        <color rgb="FF63BE7B"/>
      </colorScale>
    </cfRule>
  </conditionalFormatting>
  <conditionalFormatting sqref="T12:AB12;AD12:AI12">
    <cfRule type="colorScale" priority="39">
      <colorScale>
        <cfvo type="min"/>
        <cfvo type="percentile" val="50"/>
        <cfvo type="max"/>
        <color rgb="FF63BE7B"/>
        <color rgb="FFFFEB84"/>
        <color rgb="FFF8696B"/>
      </colorScale>
    </cfRule>
  </conditionalFormatting>
  <conditionalFormatting sqref="X12:AB12;T12;AF12:AI12">
    <cfRule type="colorScale" priority="38">
      <colorScale>
        <cfvo type="min"/>
        <cfvo type="percentile" val="50"/>
        <cfvo type="max"/>
        <color rgb="FF63BE7B"/>
        <color rgb="FFFFEB84"/>
        <color rgb="FFF8696B"/>
      </colorScale>
    </cfRule>
  </conditionalFormatting>
  <conditionalFormatting sqref="X12;AB12;AF12;Z13:Z18;AD13:AD18;AH13:AH18">
    <cfRule type="colorScale" priority="36">
      <colorScale>
        <cfvo type="min"/>
        <cfvo type="percentile" val="50"/>
        <cfvo type="max"/>
        <color rgb="FFF8696B"/>
        <color rgb="FFFFEB84"/>
        <color rgb="FF63BE7B"/>
      </colorScale>
    </cfRule>
  </conditionalFormatting>
  <conditionalFormatting sqref="V13:V18;AD13:AD18;AH13:AH18;Z13:Z18">
    <cfRule type="colorScale" priority="30">
      <colorScale>
        <cfvo type="min"/>
        <cfvo type="percentile" val="50"/>
        <cfvo type="max"/>
        <color rgb="FFF8696B"/>
        <color rgb="FFFFEB84"/>
        <color rgb="FF63BE7B"/>
      </colorScale>
    </cfRule>
  </conditionalFormatting>
  <conditionalFormatting sqref="Z13:Z18;AD13:AD18;AH13:AH18">
    <cfRule type="colorScale" priority="37">
      <colorScale>
        <cfvo type="min"/>
        <cfvo type="percentile" val="50"/>
        <cfvo type="max"/>
        <color rgb="FFF8696B"/>
        <color rgb="FFFFEB84"/>
        <color rgb="FF63BE7B"/>
      </colorScale>
    </cfRule>
  </conditionalFormatting>
  <pageMargins left="0.7" right="0.7" top="0.75" bottom="0.75" header="0.3" footer="0.3"/>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B2:U40"/>
  <sheetViews>
    <sheetView showGridLines="0" zoomScale="55" zoomScaleNormal="55" workbookViewId="0">
      <selection activeCell="E7" sqref="E7"/>
    </sheetView>
  </sheetViews>
  <sheetFormatPr defaultColWidth="11" defaultRowHeight="15.5"/>
  <cols>
    <col min="2" max="3" width="7.91666666666667" style="110" customWidth="1"/>
    <col min="4" max="4" width="7" style="110" customWidth="1"/>
  </cols>
  <sheetData>
    <row r="2" ht="21" spans="2:21">
      <c r="B2" s="31" t="s">
        <v>89</v>
      </c>
      <c r="C2" s="31" t="s">
        <v>62</v>
      </c>
      <c r="D2" s="31" t="s">
        <v>112</v>
      </c>
      <c r="I2" s="111"/>
    </row>
    <row r="3" ht="14" customHeight="1" spans="2:21">
      <c r="B3" s="33">
        <v>265</v>
      </c>
      <c r="C3" s="112">
        <v>3.1</v>
      </c>
      <c r="D3" s="113">
        <v>144</v>
      </c>
    </row>
    <row r="4" ht="14" customHeight="1" spans="2:21">
      <c r="B4" s="33">
        <v>280</v>
      </c>
      <c r="C4" s="112">
        <v>3.7</v>
      </c>
      <c r="D4" s="113">
        <v>153</v>
      </c>
      <c r="Q4" t="s">
        <v>113</v>
      </c>
    </row>
    <row r="5" ht="14" customHeight="1" spans="2:21">
      <c r="B5" s="33">
        <v>295</v>
      </c>
      <c r="C5" s="112">
        <v>4.6</v>
      </c>
      <c r="D5" s="113">
        <v>159</v>
      </c>
    </row>
    <row r="6" spans="2:21">
      <c r="B6" s="33"/>
      <c r="C6" s="112"/>
      <c r="D6" s="113"/>
    </row>
    <row r="7" ht="23.5" spans="2:21">
      <c r="B7" s="33"/>
      <c r="C7" s="112"/>
      <c r="D7" s="113"/>
      <c r="Q7" s="114" t="s">
        <v>114</v>
      </c>
      <c r="U7" t="s">
        <v>115</v>
      </c>
    </row>
    <row r="8" ht="14" customHeight="1" spans="2:21">
      <c r="B8" s="33"/>
      <c r="C8" s="112"/>
      <c r="D8" s="113"/>
    </row>
    <row r="9" ht="14" customHeight="1" spans="2:21">
      <c r="B9" s="33"/>
      <c r="C9" s="112"/>
      <c r="D9" s="113"/>
      <c r="Q9" t="s">
        <v>116</v>
      </c>
    </row>
    <row r="10" ht="14" customHeight="1" spans="2:21">
      <c r="B10" s="33"/>
      <c r="C10" s="112"/>
      <c r="D10" s="113"/>
    </row>
    <row r="11" ht="14" customHeight="1" spans="2:21">
      <c r="B11" s="33"/>
      <c r="C11" s="112"/>
      <c r="D11" s="113"/>
      <c r="Q11" s="115" t="s">
        <v>117</v>
      </c>
    </row>
    <row r="12" ht="14" customHeight="1" spans="2:21">
      <c r="B12" s="33"/>
      <c r="C12" s="112"/>
      <c r="D12" s="113"/>
    </row>
    <row r="13" ht="14" customHeight="1" spans="2:21">
      <c r="B13" s="33"/>
      <c r="C13" s="112"/>
      <c r="D13" s="113"/>
      <c r="Q13" t="s">
        <v>118</v>
      </c>
    </row>
    <row r="14" ht="14" customHeight="1" spans="2:21">
      <c r="B14" s="33"/>
      <c r="C14" s="112"/>
      <c r="D14" s="113"/>
      <c r="Q14" t="s">
        <v>119</v>
      </c>
    </row>
    <row r="15" ht="14" customHeight="1" spans="2:21">
      <c r="B15" s="33"/>
      <c r="C15" s="112"/>
      <c r="D15" s="113"/>
    </row>
    <row r="16" ht="14" customHeight="1" spans="2:21">
      <c r="B16" s="33"/>
      <c r="C16" s="112"/>
      <c r="D16" s="113"/>
      <c r="Q16" s="116" t="s">
        <v>120</v>
      </c>
      <c r="R16" s="116" t="s">
        <v>121</v>
      </c>
    </row>
    <row r="17" ht="14" customHeight="1" spans="2:18">
      <c r="B17" s="33"/>
      <c r="C17" s="112"/>
      <c r="D17" s="113"/>
      <c r="Q17" s="116" t="s">
        <v>122</v>
      </c>
      <c r="R17" s="116" t="s">
        <v>123</v>
      </c>
    </row>
    <row r="18" ht="14" customHeight="1" spans="2:18">
      <c r="B18" s="117"/>
      <c r="C18" s="118"/>
      <c r="D18" s="117"/>
      <c r="Q18" s="116" t="s">
        <v>124</v>
      </c>
      <c r="R18" s="116" t="s">
        <v>125</v>
      </c>
    </row>
    <row r="19" ht="14" customHeight="1" spans="2:18">
      <c r="Q19" s="116" t="s">
        <v>126</v>
      </c>
      <c r="R19" s="116" t="s">
        <v>127</v>
      </c>
    </row>
    <row r="20" ht="14" customHeight="1" spans="2:18">
      <c r="B20" s="119"/>
      <c r="C20" s="120"/>
      <c r="D20" s="120"/>
      <c r="Q20" s="116" t="s">
        <v>128</v>
      </c>
      <c r="R20" s="116" t="s">
        <v>129</v>
      </c>
    </row>
    <row r="21" ht="14" customHeight="1" spans="2:18">
      <c r="B21" s="121" t="s">
        <v>130</v>
      </c>
      <c r="C21" s="122"/>
      <c r="D21" s="123"/>
    </row>
    <row r="22" ht="14" customHeight="1" spans="2:18">
      <c r="B22" s="121" t="s">
        <v>131</v>
      </c>
      <c r="C22" s="124">
        <f>(C21*D22)/100</f>
        <v>0</v>
      </c>
      <c r="D22" s="125"/>
      <c r="Q22" s="115" t="s">
        <v>132</v>
      </c>
    </row>
    <row r="23" ht="14" customHeight="1" spans="2:18">
      <c r="B23" s="121" t="s">
        <v>133</v>
      </c>
      <c r="C23" s="124">
        <f>(C21*D23)/100</f>
        <v>0</v>
      </c>
      <c r="D23" s="125"/>
    </row>
    <row r="24" ht="14" customHeight="1" spans="2:18">
      <c r="B24" s="126"/>
      <c r="C24" s="127"/>
      <c r="D24" s="127"/>
      <c r="Q24" t="s">
        <v>119</v>
      </c>
    </row>
    <row r="25" ht="14" customHeight="1" spans="2:18">
      <c r="B25" s="128" t="s">
        <v>134</v>
      </c>
      <c r="C25" s="122"/>
      <c r="D25" s="129"/>
    </row>
    <row r="26" ht="14" customHeight="1" spans="2:18">
      <c r="B26" s="128" t="s">
        <v>135</v>
      </c>
      <c r="C26" s="129">
        <f>(C25*D26)/100</f>
        <v>0</v>
      </c>
      <c r="D26" s="125"/>
      <c r="Q26" s="116" t="s">
        <v>120</v>
      </c>
      <c r="R26" s="116" t="s">
        <v>136</v>
      </c>
    </row>
    <row r="27" ht="14" customHeight="1" spans="2:18">
      <c r="B27" s="128" t="s">
        <v>137</v>
      </c>
      <c r="C27" s="129">
        <f>(C25*D27)/100</f>
        <v>0</v>
      </c>
      <c r="D27" s="125"/>
      <c r="Q27" s="116" t="s">
        <v>122</v>
      </c>
      <c r="R27" s="116" t="s">
        <v>138</v>
      </c>
    </row>
    <row r="28" ht="14" customHeight="1" spans="2:18">
      <c r="Q28" s="116" t="s">
        <v>124</v>
      </c>
      <c r="R28" s="116" t="s">
        <v>139</v>
      </c>
    </row>
    <row r="29" ht="14" customHeight="1" spans="2:18">
      <c r="Q29" s="116" t="s">
        <v>126</v>
      </c>
      <c r="R29" s="116" t="s">
        <v>140</v>
      </c>
    </row>
    <row r="30" ht="14" customHeight="1" spans="2:18">
      <c r="C30" s="130" t="s">
        <v>89</v>
      </c>
      <c r="D30" s="130" t="s">
        <v>96</v>
      </c>
      <c r="Q30" s="116" t="s">
        <v>128</v>
      </c>
      <c r="R30" s="116" t="s">
        <v>141</v>
      </c>
    </row>
    <row r="31" ht="14" customHeight="1" spans="2:18">
      <c r="B31" s="131" t="s">
        <v>142</v>
      </c>
      <c r="C31" s="132"/>
      <c r="D31" s="133"/>
    </row>
    <row r="32" ht="14" customHeight="1" spans="2:18">
      <c r="B32" s="134"/>
      <c r="C32" s="135"/>
      <c r="D32" s="136"/>
      <c r="Q32" s="115" t="s">
        <v>143</v>
      </c>
    </row>
    <row r="33" ht="14" customHeight="1" spans="2:18">
      <c r="B33" s="137" t="s">
        <v>144</v>
      </c>
      <c r="C33" s="138"/>
      <c r="D33" s="138"/>
      <c r="F33" s="139"/>
      <c r="G33" s="139"/>
      <c r="H33" s="139"/>
      <c r="I33" s="139"/>
      <c r="J33" s="139"/>
      <c r="K33" s="139"/>
      <c r="L33" s="139"/>
      <c r="M33" s="139"/>
      <c r="N33" s="139"/>
      <c r="O33" s="139"/>
    </row>
    <row r="34" ht="14" customHeight="1" spans="2:18">
      <c r="B34" s="140"/>
      <c r="C34" s="141"/>
      <c r="D34" s="138"/>
      <c r="E34" s="142"/>
      <c r="F34" s="143" t="s">
        <v>145</v>
      </c>
      <c r="G34" s="143"/>
      <c r="H34" s="143"/>
      <c r="I34" s="143"/>
      <c r="J34" s="143"/>
      <c r="K34" s="143"/>
      <c r="L34" s="143"/>
      <c r="M34" s="143"/>
      <c r="N34" s="143"/>
      <c r="O34" s="143"/>
      <c r="Q34" t="s">
        <v>146</v>
      </c>
    </row>
    <row r="35" ht="14" customHeight="1" spans="2:18">
      <c r="B35" s="130" t="s">
        <v>147</v>
      </c>
      <c r="C35" s="144"/>
      <c r="D35" s="145"/>
      <c r="E35" s="142"/>
      <c r="F35" s="143"/>
      <c r="G35" s="143"/>
      <c r="H35" s="143"/>
      <c r="I35" s="143"/>
      <c r="J35" s="143"/>
      <c r="K35" s="143"/>
      <c r="L35" s="143"/>
      <c r="M35" s="143"/>
      <c r="N35" s="143"/>
      <c r="O35" s="143"/>
    </row>
    <row r="36" ht="14" customHeight="1" spans="2:18">
      <c r="B36" s="146"/>
      <c r="C36" s="147"/>
      <c r="D36" s="148"/>
      <c r="F36" s="143"/>
      <c r="G36" s="143"/>
      <c r="H36" s="143"/>
      <c r="I36" s="143"/>
      <c r="J36" s="143"/>
      <c r="K36" s="143"/>
      <c r="L36" s="143"/>
      <c r="M36" s="143"/>
      <c r="N36" s="143"/>
      <c r="O36" s="143"/>
      <c r="Q36" s="116" t="s">
        <v>120</v>
      </c>
      <c r="R36" s="116" t="s">
        <v>148</v>
      </c>
    </row>
    <row r="37" ht="14" customHeight="1" spans="2:18">
      <c r="B37" s="149" t="s">
        <v>149</v>
      </c>
      <c r="C37" s="150"/>
      <c r="D37" s="151"/>
      <c r="F37" s="143"/>
      <c r="G37" s="143"/>
      <c r="H37" s="143"/>
      <c r="I37" s="143"/>
      <c r="J37" s="143"/>
      <c r="K37" s="143"/>
      <c r="L37" s="143"/>
      <c r="M37" s="143"/>
      <c r="N37" s="143"/>
      <c r="O37" s="143"/>
      <c r="Q37" s="116" t="s">
        <v>122</v>
      </c>
      <c r="R37" s="116" t="s">
        <v>150</v>
      </c>
    </row>
    <row r="38" ht="14" customHeight="1" spans="2:18">
      <c r="B38" s="152"/>
      <c r="C38" s="150"/>
      <c r="D38" s="151"/>
      <c r="F38" s="143"/>
      <c r="G38" s="143"/>
      <c r="H38" s="143"/>
      <c r="I38" s="143"/>
      <c r="J38" s="143"/>
      <c r="K38" s="143"/>
      <c r="L38" s="143"/>
      <c r="M38" s="143"/>
      <c r="N38" s="143"/>
      <c r="O38" s="143"/>
      <c r="Q38" s="116" t="s">
        <v>124</v>
      </c>
      <c r="R38" s="116" t="s">
        <v>151</v>
      </c>
    </row>
    <row r="39" ht="14" customHeight="1" spans="2:18">
      <c r="B39" s="153" t="s">
        <v>152</v>
      </c>
      <c r="C39" s="154"/>
      <c r="D39" s="155"/>
      <c r="Q39" s="116" t="s">
        <v>126</v>
      </c>
      <c r="R39" s="116" t="s">
        <v>153</v>
      </c>
    </row>
    <row r="40" ht="14" customHeight="1" spans="2:18">
      <c r="B40" s="156"/>
      <c r="C40" s="157"/>
      <c r="D40" s="157"/>
      <c r="Q40" s="116" t="s">
        <v>128</v>
      </c>
      <c r="R40" s="116" t="s">
        <v>154</v>
      </c>
    </row>
  </sheetData>
  <mergeCells count="6">
    <mergeCell ref="F33:G33"/>
    <mergeCell ref="H33:I33"/>
    <mergeCell ref="J33:K33"/>
    <mergeCell ref="L33:M33"/>
    <mergeCell ref="N33:O33"/>
    <mergeCell ref="F34:O38"/>
  </mergeCells>
  <hyperlinks>
    <hyperlink ref="Q4" r:id="rId2" display="https://www.uiginn.com/lactate/e-support/help.html" tooltip="https://www.uiginn.com/lactate/e-support/help.html"/>
  </hyperlink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X75"/>
  <sheetViews>
    <sheetView showGridLines="0" tabSelected="1" zoomScale="55" zoomScaleNormal="55" workbookViewId="0">
      <selection activeCell="I50" sqref="I50"/>
    </sheetView>
  </sheetViews>
  <sheetFormatPr defaultColWidth="8.25" defaultRowHeight="14.5"/>
  <cols>
    <col min="1" max="1" width="8.25" style="42"/>
    <col min="2" max="2" width="46.3583333333333" style="42" customWidth="1"/>
    <col min="3" max="3" width="18.5833333333333" style="42" customWidth="1"/>
    <col min="4" max="4" width="12.0833333333333" style="42" customWidth="1"/>
    <col min="5" max="5" width="12.5" style="42" customWidth="1"/>
    <col min="6" max="6" width="27.5833333333333" style="42" customWidth="1"/>
    <col min="7" max="7" width="24.6666666666667" style="42" customWidth="1"/>
    <col min="8" max="8" width="21.8333333333333" style="42" customWidth="1"/>
    <col min="9" max="10" width="17.3333333333333" style="42" customWidth="1"/>
    <col min="11" max="11" width="12.6666666666667" style="42"/>
    <col min="12" max="12" width="11.6666666666667" style="42"/>
    <col min="13" max="13" width="8.25" style="42"/>
    <col min="14" max="14" width="11.6666666666667" style="42"/>
    <col min="15" max="20" width="8.25" style="42"/>
    <col min="21" max="23" width="8.25" style="42" hidden="1" customWidth="1"/>
    <col min="24" max="24" width="12.6666666666667" style="42" hidden="1" customWidth="1"/>
    <col min="25" max="16383" width="8.25" style="42"/>
  </cols>
  <sheetData>
    <row r="2" ht="40" customHeight="1" spans="2:24">
      <c r="B2" s="43" t="s">
        <v>155</v>
      </c>
      <c r="C2" s="43"/>
      <c r="D2" s="43"/>
      <c r="E2" s="43"/>
      <c r="F2" s="43"/>
      <c r="G2" s="43"/>
      <c r="H2" s="43"/>
      <c r="I2" s="43"/>
      <c r="J2" s="43"/>
      <c r="K2" s="43"/>
      <c r="L2" s="43"/>
    </row>
    <row r="3" ht="15.5" spans="2:24">
      <c r="V3" t="s">
        <v>156</v>
      </c>
      <c r="X3" s="42" cm="1">
        <f t="array" ref="X3">INDEX(LINEST(C10:C18,B10:B18^{1,2}),1,1)</f>
        <v>0.000133100011641295</v>
      </c>
    </row>
    <row r="4" ht="16" spans="2:24">
      <c r="B4" s="44" t="s">
        <v>157</v>
      </c>
      <c r="C4" s="45" t="s">
        <v>158</v>
      </c>
      <c r="V4" t="s">
        <v>159</v>
      </c>
      <c r="X4" s="42" cm="1">
        <f t="array" ref="X4">INDEX(LINEST(C10:C18,B10:B18^{1,2}),1,2)</f>
        <v>-0.00561236967329345</v>
      </c>
    </row>
    <row r="5" ht="16" spans="2:24">
      <c r="B5" s="44" t="s">
        <v>160</v>
      </c>
      <c r="C5" s="46" t="s">
        <v>161</v>
      </c>
      <c r="V5" t="s">
        <v>162</v>
      </c>
      <c r="X5" s="42" cm="1">
        <f t="array" ref="X5">INDEX(LINEST(C10:C18,B10:B18^{1,2}),1,3)</f>
        <v>-2.0291907625898</v>
      </c>
    </row>
    <row r="6" ht="16" spans="2:24">
      <c r="B6" s="44" t="s">
        <v>163</v>
      </c>
      <c r="C6" s="47">
        <v>0.8</v>
      </c>
      <c r="F6" s="48" t="s">
        <v>164</v>
      </c>
      <c r="G6" s="49" t="s">
        <v>165</v>
      </c>
      <c r="U6" s="42" t="s">
        <v>165</v>
      </c>
      <c r="V6" s="42" t="s">
        <v>166</v>
      </c>
      <c r="X6" s="42">
        <f>(C18-C10)/(B18-B10)</f>
        <v>0.058695652173913</v>
      </c>
    </row>
    <row r="7" spans="2:24">
      <c r="F7" s="50" t="s">
        <v>167</v>
      </c>
      <c r="G7" s="51"/>
      <c r="H7" s="51"/>
      <c r="I7" s="51"/>
      <c r="J7" s="52"/>
      <c r="U7" s="42" t="s">
        <v>168</v>
      </c>
    </row>
    <row r="8" ht="16" spans="2:24">
      <c r="B8" s="53" t="s">
        <v>169</v>
      </c>
      <c r="C8" s="53"/>
      <c r="D8" s="53"/>
      <c r="F8" s="53" t="s">
        <v>170</v>
      </c>
      <c r="G8" s="53"/>
      <c r="H8" s="53"/>
      <c r="I8" s="53"/>
      <c r="J8" s="53"/>
      <c r="U8" s="42" t="s">
        <v>171</v>
      </c>
    </row>
    <row r="9" ht="16" spans="2:24">
      <c r="B9" s="54" t="s">
        <v>172</v>
      </c>
      <c r="C9" s="54" t="s">
        <v>173</v>
      </c>
      <c r="D9" s="54" t="s">
        <v>112</v>
      </c>
      <c r="E9" s="54" t="s">
        <v>174</v>
      </c>
      <c r="F9" s="54" t="s">
        <v>175</v>
      </c>
      <c r="G9" s="54" t="s">
        <v>176</v>
      </c>
      <c r="H9" s="54" t="s">
        <v>177</v>
      </c>
      <c r="I9" s="54" t="s">
        <v>178</v>
      </c>
      <c r="J9" s="54" t="s">
        <v>173</v>
      </c>
      <c r="U9" s="42" t="s">
        <v>179</v>
      </c>
    </row>
    <row r="10" ht="16" spans="2:24">
      <c r="B10" s="55">
        <v>166</v>
      </c>
      <c r="C10" s="56">
        <v>1.2</v>
      </c>
      <c r="D10" s="57">
        <v>118</v>
      </c>
      <c r="E10" s="58">
        <v>0</v>
      </c>
      <c r="F10" s="59" t="s">
        <v>180</v>
      </c>
      <c r="G10" s="60" t="s">
        <v>181</v>
      </c>
      <c r="H10" s="61"/>
      <c r="I10" s="62" cm="1">
        <f t="array" ref="I10">FORECAST(C6+0.4,D10:D18,C10:C18)</f>
        <v>129.011830956809</v>
      </c>
      <c r="J10" s="63">
        <f>C6+0.4</f>
        <v>1.2</v>
      </c>
      <c r="U10" s="42" t="s">
        <v>182</v>
      </c>
    </row>
    <row r="11" ht="16" spans="2:24">
      <c r="B11" s="55">
        <v>175</v>
      </c>
      <c r="C11" s="56">
        <v>1.2</v>
      </c>
      <c r="D11" s="57">
        <v>124</v>
      </c>
      <c r="E11" s="58">
        <v>0</v>
      </c>
      <c r="F11" s="59" t="s">
        <v>183</v>
      </c>
      <c r="G11" s="60" t="s">
        <v>184</v>
      </c>
      <c r="H11" s="61"/>
      <c r="I11" s="61" cm="1">
        <f t="array" ref="I11">FORECAST(H19,D10:D18,B10:B18)</f>
        <v>139.775360482376</v>
      </c>
      <c r="J11" s="63"/>
      <c r="U11" s="42" t="s">
        <v>185</v>
      </c>
    </row>
    <row r="12" ht="16" spans="2:24">
      <c r="B12" s="55">
        <v>187</v>
      </c>
      <c r="C12" s="56">
        <v>1.3</v>
      </c>
      <c r="D12" s="57">
        <v>131</v>
      </c>
      <c r="E12" s="58">
        <f>C12-(2*C11)+C10</f>
        <v>0.1</v>
      </c>
      <c r="F12" s="59" t="s">
        <v>186</v>
      </c>
      <c r="G12" s="64" t="s">
        <v>187</v>
      </c>
      <c r="H12" s="65" cm="1">
        <f t="array" ref="H12">IF(C5="CICLISMO",FORECAST(C6+0.5,B10:B18,C10:C18),FORECAST(C6+1,B10:B18,C10:C18))</f>
        <v>193.563804505063</v>
      </c>
      <c r="I12" s="66" cm="1">
        <f t="array" ref="I12">IF(C5="CICLISMO",FORECAST(C6+0.5,D10:D18,C10:C18),FORECAST(C6+1,D10:D18,C10:C18))</f>
        <v>130.757336226493</v>
      </c>
      <c r="J12" s="67">
        <f>IF(C5="CICLISMO",C6+0.5,C6+1)</f>
        <v>1.8</v>
      </c>
    </row>
    <row r="13" ht="16" spans="2:24">
      <c r="B13" s="55">
        <v>207</v>
      </c>
      <c r="C13" s="56">
        <v>2.2</v>
      </c>
      <c r="D13" s="57">
        <v>136</v>
      </c>
      <c r="E13" s="58">
        <f t="shared" ref="E13:E18" si="0">C13-(2*C12)+C11</f>
        <v>0.8</v>
      </c>
      <c r="F13" s="68" t="s">
        <v>188</v>
      </c>
      <c r="G13" s="69" t="s">
        <v>189</v>
      </c>
      <c r="H13" s="70" cm="1">
        <f t="array" ref="H13">FORECAST(J13,B$10:B$18,C$10:C$18)</f>
        <v>188.894089687952</v>
      </c>
      <c r="I13" s="71" cm="1">
        <f t="array" ref="I13">FORECAST(J13,D9:D17,C9:C17)</f>
        <v>129.677538563365</v>
      </c>
      <c r="J13" s="72">
        <v>1.5</v>
      </c>
      <c r="U13" s="42" t="s">
        <v>190</v>
      </c>
    </row>
    <row r="14" ht="16" spans="2:24">
      <c r="B14" s="55">
        <v>222</v>
      </c>
      <c r="C14" s="56">
        <v>2.8</v>
      </c>
      <c r="D14" s="57">
        <v>141</v>
      </c>
      <c r="E14" s="58">
        <f t="shared" si="0"/>
        <v>-0.3</v>
      </c>
      <c r="F14" s="59" t="s">
        <v>191</v>
      </c>
      <c r="G14" s="73" t="s">
        <v>192</v>
      </c>
      <c r="H14" s="74" cm="1">
        <f t="array" ref="H14">FORECAST(J14,B10:B18,C10:C18)</f>
        <v>196.67694771647</v>
      </c>
      <c r="I14" s="75" cm="1">
        <f t="array" ref="I14">FORECAST(J14,D10:D18,C10:C18)</f>
        <v>131.339171316388</v>
      </c>
      <c r="J14" s="76">
        <v>2</v>
      </c>
      <c r="U14" s="42" t="s">
        <v>161</v>
      </c>
    </row>
    <row r="15" ht="16" spans="2:24">
      <c r="B15" s="55">
        <v>244</v>
      </c>
      <c r="C15" s="56">
        <v>4</v>
      </c>
      <c r="D15" s="57">
        <v>145</v>
      </c>
      <c r="E15" s="58">
        <f t="shared" si="0"/>
        <v>0.600000000000001</v>
      </c>
      <c r="F15" s="68" t="s">
        <v>193</v>
      </c>
      <c r="G15" s="69" t="s">
        <v>194</v>
      </c>
      <c r="H15" s="70" cm="1">
        <f t="array" ref="H15">FORECAST(J15,B10:B18,C10:C18)</f>
        <v>204.459805744989</v>
      </c>
      <c r="I15" s="71" cm="1">
        <f t="array" ref="I15">FORECAST(J15,D10:D18,C10:C18)</f>
        <v>132.793759041124</v>
      </c>
      <c r="J15" s="72">
        <v>2.5</v>
      </c>
    </row>
    <row r="16" ht="16" spans="2:24">
      <c r="B16" s="55">
        <v>278</v>
      </c>
      <c r="C16" s="56">
        <v>8</v>
      </c>
      <c r="D16" s="57">
        <v>144</v>
      </c>
      <c r="E16" s="58">
        <f t="shared" si="0"/>
        <v>2.8</v>
      </c>
      <c r="F16" s="59" t="s">
        <v>195</v>
      </c>
      <c r="G16" s="73" t="s">
        <v>196</v>
      </c>
      <c r="H16" s="74" cm="1">
        <f t="array" ref="H16">FORECAST(J16,B10:B18,C10:C18)</f>
        <v>220.025521802025</v>
      </c>
      <c r="I16" s="75" cm="1">
        <f t="array" ref="I16">FORECAST(J16,D10:D18,C10:C18)</f>
        <v>135.702934490597</v>
      </c>
      <c r="J16" s="76">
        <v>3.5</v>
      </c>
    </row>
    <row r="17" ht="16" spans="2:10">
      <c r="B17" s="55">
        <v>310</v>
      </c>
      <c r="C17" s="56">
        <v>9</v>
      </c>
      <c r="D17" s="57">
        <v>153</v>
      </c>
      <c r="E17" s="58">
        <f t="shared" si="0"/>
        <v>-3</v>
      </c>
      <c r="F17" s="68" t="s">
        <v>197</v>
      </c>
      <c r="G17" s="69" t="s">
        <v>198</v>
      </c>
      <c r="H17" s="70" cm="1">
        <f t="array" ref="H17">FORECAST(J17,B10:B18,C10:C18)</f>
        <v>243.37409588758</v>
      </c>
      <c r="I17" s="71" cm="1">
        <f t="array" ref="I17">FORECAST(J17,D10:D18,C10:C18)</f>
        <v>140.066697664807</v>
      </c>
      <c r="J17" s="72">
        <v>5</v>
      </c>
    </row>
    <row r="18" ht="16" spans="2:10">
      <c r="B18" s="55">
        <v>350</v>
      </c>
      <c r="C18" s="56">
        <v>12</v>
      </c>
      <c r="D18" s="57">
        <v>159</v>
      </c>
      <c r="E18" s="58">
        <f t="shared" si="0"/>
        <v>2</v>
      </c>
      <c r="F18" s="77" t="s">
        <v>199</v>
      </c>
      <c r="G18" s="78" t="s">
        <v>200</v>
      </c>
      <c r="H18" s="79" cm="1">
        <f t="array" ref="H18">FORECAST(J18,B10:B18,C10:C18)</f>
        <v>224.695236619136</v>
      </c>
      <c r="I18" s="80" cm="1">
        <f t="array" ref="I18">FORECAST(H18,D9:D17,B9:B17)</f>
        <v>136.729089332339</v>
      </c>
      <c r="J18" s="81">
        <v>3.8</v>
      </c>
    </row>
    <row r="19" ht="16" spans="2:10">
      <c r="F19" s="77" t="s">
        <v>201</v>
      </c>
      <c r="G19" s="78" t="s">
        <v>202</v>
      </c>
      <c r="H19" s="79">
        <f>(X6-X4)/(2*X3)</f>
        <v>241.577822023476</v>
      </c>
      <c r="I19" s="80" cm="1">
        <f t="array" ref="I19">FORECAST(H19,D10:D18,B10:B18)</f>
        <v>139.775360482376</v>
      </c>
      <c r="J19" s="81" cm="1">
        <f t="array" ref="J19">FORECAST(H19,C10:C18,B10:B18)</f>
        <v>4.87629574595433</v>
      </c>
    </row>
    <row r="20" ht="16" spans="2:10">
      <c r="F20" s="59" t="s">
        <v>203</v>
      </c>
      <c r="G20" s="82" t="s">
        <v>204</v>
      </c>
      <c r="H20" s="83" cm="1">
        <f t="array" ref="H20">IF(C5="CICLISMO",FORECAST(C6+2,B10:B18,C10:C18),FORECAST(C6+3,B10:B18,C10:C18))</f>
        <v>224.695236619136</v>
      </c>
      <c r="I20" s="84" cm="1">
        <f t="array" ref="I20">IF(C5="CICLISMO",FORECAST(C6+2,D10:D18,C10:C18),FORECAST(C6+3,D10:D18,C10:C18))</f>
        <v>136.575687125439</v>
      </c>
      <c r="J20" s="85">
        <f>IF(C5="CICLISMO",C6+2,C6+3)</f>
        <v>3.8</v>
      </c>
    </row>
    <row r="21" ht="16" spans="2:10">
      <c r="B21" s="86" t="s">
        <v>205</v>
      </c>
      <c r="C21" s="86"/>
      <c r="D21" s="86"/>
      <c r="E21" s="86"/>
      <c r="F21" s="86"/>
      <c r="G21" s="86"/>
    </row>
    <row r="22" ht="16" spans="2:10">
      <c r="B22" s="54" t="s">
        <v>206</v>
      </c>
      <c r="C22" s="54" t="s">
        <v>207</v>
      </c>
      <c r="D22" s="54" t="s">
        <v>208</v>
      </c>
      <c r="E22" s="54" t="s">
        <v>209</v>
      </c>
      <c r="F22" s="54" t="s">
        <v>210</v>
      </c>
      <c r="G22" s="54" t="s">
        <v>211</v>
      </c>
    </row>
    <row r="23" ht="16" spans="2:10">
      <c r="B23" s="87" t="str">
        <f>IF(G6="AIS VCP","Z1 - Capacidad Aeróbica Baja",IF(G6="AIS ADAPTACIÓN","Z1 - Capacidad Aeróbica Baja",IF($G$6="PALLARÉS/CEREZUELA","Z1 - Eficiencia Aeróbica Ligera (Regenerativo)",IF($G$6="COGGAN","Z1 - Recuperación Activa (Active Recovery)",IF($G$6="NEWELL ET AL (2007)","Z1 - Eficiencia Aeróbica / Menos de L2",IF($G$6="AIS","Z1 - Capacidad Aeróbica Baja",IF($G$6="SAN MILLÁN","Z1 - Recuperación Activa (Oxidación Baja)","")))))))</f>
        <v>Z1 - Eficiencia Aeróbica Ligera (Regenerativo)</v>
      </c>
      <c r="C23" s="88" t="s">
        <v>212</v>
      </c>
      <c r="D23" s="89">
        <f>IF(G6="NEWELL ET AL (2007)",H13,0)</f>
        <v>0</v>
      </c>
      <c r="E23" s="90">
        <f>IF($G$6="COGGAN",ROUND(H$17*0.55,0),IF($G$6="NEWELL ET AL (2007)",H$14,H$12-1))</f>
        <v>192.563804505063</v>
      </c>
      <c r="F23" s="88">
        <v>0</v>
      </c>
      <c r="G23" s="90">
        <f>IF($G$6="COGGAN",ROUND(I$17*0.68,0),IF($G$6="AIS ADAPTACIÓN",(I10),IF($G$6="AIS VCP",0.8*I$19,I$12-1)))</f>
        <v>129.757336226493</v>
      </c>
    </row>
    <row r="24" ht="16" spans="2:10">
      <c r="B24" s="91" t="str">
        <f>IF(G6="AIS VCP","Z2 - Resistencia Aeróbica",IF(G6="AIS ADAPTACIÓN","Z2 - Resistencia Aeróbica",IF($G$6="PALLARÉS/CEREZUELA","Z2 - Umbral Aeróbico (Transición)",IF($G$6="COGGAN","Z2 - Resistencia Aeróbica (Endurance)",IF($G$6="NEWELL ET AL (2007)","Z2 - Umbral Aeróbico Corto / Entre L2 y L3",IF($G$6="AIS","Z2 - Umbral Aeróbico (Capacidad Media)",IF($G$6="SAN MILLÁN","Z2 - Eficiencia Lipídica Máxima (FatMax)","")))))))</f>
        <v>Z2 - Umbral Aeróbico (Transición)</v>
      </c>
      <c r="C24" s="92" t="s">
        <v>213</v>
      </c>
      <c r="D24" s="93">
        <f>IF($G$6="COGGAN",ROUND(H$17*0.56,0),IF($G$6="NEWELL ET AL (2007)",H14,H$12))</f>
        <v>193.563804505063</v>
      </c>
      <c r="E24" s="93">
        <f>IF($G$6="COGGAN",ROUND(H$17*0.75,0),IF($G$6="NEWELL ET AL (2007)",H$15,D25-1))</f>
        <v>195.67694771647</v>
      </c>
      <c r="F24" s="93">
        <f>IF($G$6="COGGAN",ROUND(I$17*0.69,0),IF($G$6="AIS ADAPTACIÓN",I10,IF($G$6="AIS VCP",0.81*I19,I14)))</f>
        <v>131.339171316388</v>
      </c>
      <c r="G24" s="93">
        <f>IF($G$6="COGGAN",ROUND(I$17*0.83,0),IF($G$6="AIS ADAPTACIÓN",I$19,IF($G$6="AIS VCP",0.95*I$19,I$16)))</f>
        <v>135.702934490597</v>
      </c>
    </row>
    <row r="25" ht="16" spans="2:10">
      <c r="B25" s="94" t="str">
        <f>IF(G6="AIS VCP","Z3 - Transición / Tempo",IF(G6="AIS ADAPTACIÓN","Z3 - Transición / Tempo",IF($G$6="PALLARÉS/CEREZUELA","Z3 - Transición Aeróbica-Anaeróbica (Tempo)",IF($G$6="COGGAN","Z3 - Tempo (Ritmo Sostenido)",IF($G$6="NEWELL ET AL (2007)","Z3 - Transición / Entre L3 y L4",IF($G$6="AIS","Z3 - Transición (Umbral de Lactato)",IF($G$6="SAN MILLÁN","Z3 - Resistencia Aeróbica / Capacidad de Aclarado","")))))))</f>
        <v>Z3 - Transición Aeróbica-Anaeróbica (Tempo)</v>
      </c>
      <c r="C25" s="95" t="s">
        <v>214</v>
      </c>
      <c r="D25" s="96" cm="1">
        <f t="array" ref="D25">IF($G$6="COGGAN",ROUND(H$17*0.76,0),IF($G$6="AIS ADAPTACION",ROUND(FORECAST(F25,H$12:H$20,I$12:I$20),0),IF($G$6="AIS VCP",ROUND(FORECAST(F25,H$12:H$20,I$12:I$20),0),IF($G$6="NEWELL ET AL (2007)",H$15,H$14))))</f>
        <v>196.67694771647</v>
      </c>
      <c r="E25" s="96" cm="1">
        <f t="array" ref="E25">IF($G$6="COGGAN",ROUND(H$17*0.9,0),IF($G$6="AIS ADAPTACION",ROUND(FORECAST(G25,H$12:H$20,I$12:I$20),0),IF($G$6="AIS VCP",ROUND(FORECAST(G25,H$12:H$20,I$12:I$20),0),IF($G$6="NEWELL ET AL (2007)",H$16,H$17))))</f>
        <v>243.37409588758</v>
      </c>
      <c r="F25" s="96">
        <f>IF($G$6="COGGAN",ROUND(I$17*0.84,0),IF($G$6="AIS ADAPTACIÓN",I$19-((I$19-I$10)/2),IF($G$6="AIS VCP",0.86*I$19,I$14)))</f>
        <v>131.339171316388</v>
      </c>
      <c r="G25" s="96">
        <f>IF($G$6="COGGAN",ROUND(I$17*0.94,0),IF($G$6="AIS ADAPTACIÓN",I$19+3,IF($G$6="AIS VCP",1.02*I$19,I$17)))</f>
        <v>140.066697664807</v>
      </c>
    </row>
    <row r="26" ht="16" spans="2:10">
      <c r="B26" s="97" t="str">
        <f>IF(G6="AIS VCP","Z4 - Umbral Anaeróbico",IF(G6="AIS ADAPTACIÓN","Z4 - Umbral Anaeróbico",IF($G$6="PALLARÉS/CEREZUELA","Z4 - Umbral Anaeróbico / Máximo Estado Estable",IF($G$6="COGGAN","Z4 - Umbral de Lactato (FTP Zone)",IF($G$6="NEWELL ET AL (2007)","Z4 - Umbral Anaeróbico / Entre L4 y L5",IF($G$6="AIS","Z4 - Máximo Estado Estable de Lactato (MLSS)",IF($G$6="SAN MILLÁN","Z4 - Umbral de Lactato (Máxima Estabilidad)","")))))))</f>
        <v>Z4 - Umbral Anaeróbico / Máximo Estado Estable</v>
      </c>
      <c r="C26" s="98" t="s">
        <v>215</v>
      </c>
      <c r="D26" s="99">
        <f>IF($G$6="COGGAN",ROUND(H$17*0.91,0),IF($G$6="AIS ADAPTACION",E25+1,IF($G$6="AIS VCP",E25+1,IF($G$6="NEWELL ET AL (2007)",H$16,H$16))))</f>
        <v>220.025521802025</v>
      </c>
      <c r="E26" s="99">
        <f>IF($G$6="COGGAN",ROUND(H$17*1.05,0),IF($G$6="NEWELL ET AL (2007)",H$17,H$18))</f>
        <v>224.695236619136</v>
      </c>
      <c r="F26" s="99">
        <f>IF($G$6="COGGAN",ROUND(I$17*0.95,0),IF($G$6="AIS ADAPTACIÓN",I$19-3,IF($G$6="AIS VCP",0.96*I$19,I$16)))</f>
        <v>135.702934490597</v>
      </c>
      <c r="G26" s="99">
        <f>IF($G$6="COGGAN",ROUND(I$17*1.05,0),IF($G$6="AIS VCP",1.03*I$19,I$18))</f>
        <v>136.729089332339</v>
      </c>
    </row>
    <row r="27" ht="16" spans="2:10">
      <c r="B27" s="100" t="str">
        <f>IF(G6="AIS VCP","Z5 - Capacidad Anaeróbica",IF(G6="AIS ADAPTACIÓN","Z5 - Capacidad Anaeróbica",IF($G$6="PALLARÉS/CEREZUELA","Z5 - Consumo Máximo de Oxígeno (VO2máx)",IF($G$6="COGGAN","Z5 - Capacidad Aeróbica (VO2máx Intervals)",IF($G$6="NEWELL ET AL (2007)","Z5 - Potencia Aeróbica Máxima / Más de L5",IF($G$6="AIS","Z5 - Capacidad Anaeróbica / VO2máx",IF($G$6="SAN MILLÁN","Z5 - Zona Glucolítica Alta / Buffering","")))))))</f>
        <v>Z5 - Consumo Máximo de Oxígeno (VO2máx)</v>
      </c>
      <c r="C27" s="101" t="s">
        <v>216</v>
      </c>
      <c r="D27" s="102">
        <f>IF($G$6="COGGAN",ROUND(H$17*1.06,0),IF($G$6="NEWELL ET AL (2007)",H$17,H$18+1))</f>
        <v>225.695236619136</v>
      </c>
      <c r="E27" s="101" t="s">
        <v>217</v>
      </c>
      <c r="F27" s="102">
        <f>IF($G$6="COGGAN",ROUND(I$17*1.06,0),IF($G$6="AIS ADAPTACIÓN",I$19+4,I$18+1))</f>
        <v>137.729089332339</v>
      </c>
      <c r="G27" s="101" t="s">
        <v>217</v>
      </c>
    </row>
    <row r="29" spans="2:10">
      <c r="B29" s="103"/>
    </row>
    <row r="32" spans="2:10">
      <c r="B32" s="104" t="s">
        <v>218</v>
      </c>
      <c r="C32" s="104"/>
      <c r="D32" s="104"/>
      <c r="E32" s="104"/>
      <c r="F32" s="104"/>
    </row>
    <row r="33" spans="2:6">
      <c r="B33" s="104"/>
      <c r="C33" s="104"/>
      <c r="D33" s="104"/>
      <c r="E33" s="104"/>
      <c r="F33" s="104"/>
    </row>
    <row r="34" spans="2:6">
      <c r="B34" s="105" t="s">
        <v>219</v>
      </c>
      <c r="C34" s="105" t="s">
        <v>220</v>
      </c>
      <c r="D34" s="105" t="s">
        <v>221</v>
      </c>
      <c r="E34" s="105" t="s">
        <v>222</v>
      </c>
      <c r="F34" s="105" t="s">
        <v>223</v>
      </c>
    </row>
    <row r="35" spans="2:6">
      <c r="B35" s="106">
        <v>45690</v>
      </c>
      <c r="C35" s="107">
        <v>134</v>
      </c>
      <c r="D35" s="107">
        <v>166</v>
      </c>
      <c r="E35" s="107">
        <v>198</v>
      </c>
      <c r="F35" s="107">
        <v>245</v>
      </c>
    </row>
    <row r="36" spans="2:6">
      <c r="B36" s="108">
        <v>45750</v>
      </c>
      <c r="C36" s="109">
        <v>136</v>
      </c>
      <c r="D36" s="109">
        <v>168</v>
      </c>
      <c r="E36" s="109">
        <v>199</v>
      </c>
      <c r="F36" s="109">
        <v>255</v>
      </c>
    </row>
    <row r="37" spans="2:6">
      <c r="B37" s="106">
        <v>45845</v>
      </c>
      <c r="C37" s="107">
        <v>135</v>
      </c>
      <c r="D37" s="107">
        <v>171</v>
      </c>
      <c r="E37" s="107">
        <v>204</v>
      </c>
      <c r="F37" s="107">
        <v>262</v>
      </c>
    </row>
    <row r="38" spans="2:6">
      <c r="B38" s="108">
        <v>45901</v>
      </c>
      <c r="C38" s="109">
        <v>139</v>
      </c>
      <c r="D38" s="109">
        <v>173</v>
      </c>
      <c r="E38" s="109">
        <v>210</v>
      </c>
      <c r="F38" s="109">
        <v>277</v>
      </c>
    </row>
    <row r="39" spans="2:6">
      <c r="B39" s="107"/>
      <c r="C39" s="107"/>
      <c r="D39" s="107"/>
      <c r="E39" s="107"/>
      <c r="F39" s="107"/>
    </row>
    <row r="40" spans="2:6">
      <c r="B40" s="108"/>
      <c r="C40" s="109"/>
      <c r="D40" s="109"/>
      <c r="E40" s="109"/>
      <c r="F40" s="109"/>
    </row>
    <row r="41" spans="2:6">
      <c r="B41" s="107"/>
      <c r="C41" s="107"/>
      <c r="D41" s="107"/>
      <c r="E41" s="107"/>
      <c r="F41" s="107"/>
    </row>
    <row r="42" spans="2:6">
      <c r="B42" s="108"/>
      <c r="C42" s="109"/>
      <c r="D42" s="109"/>
      <c r="E42" s="109"/>
      <c r="F42" s="109"/>
    </row>
    <row r="43" spans="2:6">
      <c r="B43" s="107"/>
      <c r="C43" s="107"/>
      <c r="D43" s="107"/>
      <c r="E43" s="107"/>
      <c r="F43" s="107"/>
    </row>
    <row r="44" spans="2:6">
      <c r="B44" s="108"/>
      <c r="C44" s="109"/>
      <c r="D44" s="109"/>
      <c r="E44" s="109"/>
      <c r="F44" s="109"/>
    </row>
    <row r="45" spans="2:6">
      <c r="B45" s="107"/>
      <c r="C45" s="107"/>
      <c r="D45" s="107"/>
      <c r="E45" s="107"/>
      <c r="F45" s="107"/>
    </row>
    <row r="46" spans="2:6">
      <c r="B46" s="108"/>
      <c r="C46" s="109"/>
      <c r="D46" s="109"/>
      <c r="E46" s="109"/>
      <c r="F46" s="109"/>
    </row>
    <row r="75" ht="16"/>
  </sheetData>
  <mergeCells count="6">
    <mergeCell ref="B2:L2"/>
    <mergeCell ref="F7:J7"/>
    <mergeCell ref="B8:D8"/>
    <mergeCell ref="F8:I8"/>
    <mergeCell ref="B21:G21"/>
    <mergeCell ref="B32:F33"/>
  </mergeCells>
  <dataValidations count="2">
    <dataValidation type="list" allowBlank="1" showInputMessage="1" showErrorMessage="1" sqref="C5">
      <formula1>$U$13:$U$14</formula1>
    </dataValidation>
    <dataValidation type="list" allowBlank="1" showInputMessage="1" showErrorMessage="1" sqref="G6">
      <formula1>$U$6:$U$11</formula1>
    </dataValidation>
  </dataValidations>
  <pageMargins left="0.75" right="0.75" top="1" bottom="1" header="0.5" footer="0.5"/>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M14"/>
  <sheetViews>
    <sheetView showGridLines="0" zoomScale="70" zoomScaleNormal="70" workbookViewId="0">
      <selection activeCell="O19" sqref="O19"/>
    </sheetView>
  </sheetViews>
  <sheetFormatPr defaultColWidth="11" defaultRowHeight="15.5"/>
  <cols>
    <col min="2" max="2" width="11.25" style="20" customWidth="1"/>
    <col min="3" max="4" width="9.5" style="20" customWidth="1"/>
    <col min="5" max="6" width="11.25" style="20" customWidth="1"/>
    <col min="7" max="7" width="7" style="20" customWidth="1"/>
    <col min="8" max="8" width="11.9166666666667" style="20" customWidth="1"/>
    <col min="9" max="9" width="4.25" style="20" customWidth="1"/>
    <col min="10" max="10" width="12.6666666666667" style="20" customWidth="1"/>
    <col min="11" max="11" width="16.75" style="20" customWidth="1"/>
    <col min="12" max="12" width="12" style="20" customWidth="1"/>
    <col min="13" max="13" width="7.91666666666667" style="20" customWidth="1"/>
  </cols>
  <sheetData>
    <row r="2" spans="2:13">
      <c r="B2" s="21" t="s">
        <v>60</v>
      </c>
      <c r="C2" s="22">
        <v>76</v>
      </c>
      <c r="D2" s="23" t="s">
        <v>224</v>
      </c>
      <c r="E2" s="24">
        <v>45544</v>
      </c>
      <c r="F2" s="25" t="s">
        <v>225</v>
      </c>
      <c r="G2" s="26">
        <v>281</v>
      </c>
      <c r="H2" s="27" t="s">
        <v>226</v>
      </c>
      <c r="I2" s="28">
        <v>355</v>
      </c>
    </row>
    <row r="3" spans="2:13">
      <c r="B3" s="29" t="s">
        <v>227</v>
      </c>
      <c r="C3" s="30" t="s">
        <v>228</v>
      </c>
      <c r="D3" s="29" t="s">
        <v>229</v>
      </c>
      <c r="E3" s="29" t="s">
        <v>230</v>
      </c>
      <c r="F3" s="30" t="s">
        <v>231</v>
      </c>
      <c r="G3" s="30" t="s">
        <v>112</v>
      </c>
      <c r="H3" s="29" t="s">
        <v>232</v>
      </c>
      <c r="I3" s="30" t="s">
        <v>233</v>
      </c>
      <c r="J3" s="31" t="s">
        <v>234</v>
      </c>
      <c r="K3" s="32" t="s">
        <v>235</v>
      </c>
      <c r="L3" s="31" t="s">
        <v>236</v>
      </c>
      <c r="M3" s="32" t="s">
        <v>237</v>
      </c>
    </row>
    <row r="4" spans="2:13">
      <c r="B4" s="33" t="s">
        <v>238</v>
      </c>
      <c r="C4" s="34">
        <v>250</v>
      </c>
      <c r="D4" s="35">
        <f>IFERROR(C4/$C$2,0)</f>
        <v>3.28947368421053</v>
      </c>
      <c r="E4" s="35">
        <f>IF(J4=0,0,2+J4/10)</f>
        <v>2.56730769230769</v>
      </c>
      <c r="F4" s="34"/>
      <c r="G4" s="34"/>
      <c r="H4" s="36">
        <f>IFERROR((I4/(D4*E4*100))*TIME(1,0,0),0)</f>
        <v>0.00582192259675406</v>
      </c>
      <c r="I4" s="34">
        <v>118</v>
      </c>
      <c r="J4" s="35">
        <f>IFERROR((I4/K4)*100,0)</f>
        <v>5.67307692307692</v>
      </c>
      <c r="K4" s="34">
        <v>2080</v>
      </c>
      <c r="L4" s="35">
        <f>IFERROR((K4/1000)/(H4/TIME(1,0,0)),0)</f>
        <v>14.8862622658341</v>
      </c>
      <c r="M4" s="34" t="s">
        <v>239</v>
      </c>
    </row>
    <row r="5" spans="2:13">
      <c r="B5" s="37" t="s">
        <v>240</v>
      </c>
      <c r="C5" s="34">
        <v>280</v>
      </c>
      <c r="D5" s="38">
        <f t="shared" ref="D5:D9" si="0">IFERROR(C5/$C$2,0)</f>
        <v>3.68421052631579</v>
      </c>
      <c r="E5" s="38">
        <f t="shared" ref="E5:E9" si="1">IF(J5=0,0,2+J5/10)</f>
        <v>2.54545454545455</v>
      </c>
      <c r="F5" s="34"/>
      <c r="G5" s="34"/>
      <c r="H5" s="39">
        <f t="shared" ref="H5:H9" si="2">IFERROR((I5/(D5*E5*100))*TIME(1,0,0),0)</f>
        <v>0.00559821428571428</v>
      </c>
      <c r="I5" s="34">
        <v>126</v>
      </c>
      <c r="J5" s="38">
        <f t="shared" ref="J5:J9" si="3">IFERROR((I5/K5)*100,0)</f>
        <v>5.45454545454545</v>
      </c>
      <c r="K5" s="34">
        <v>2310</v>
      </c>
      <c r="L5" s="38">
        <f t="shared" ref="L5:L9" si="4">IFERROR((K5/1000)/(H5/TIME(1,0,0)),0)</f>
        <v>17.1929824561404</v>
      </c>
      <c r="M5" s="34" t="s">
        <v>239</v>
      </c>
    </row>
    <row r="6" spans="2:13">
      <c r="B6" s="33" t="s">
        <v>241</v>
      </c>
      <c r="C6" s="34">
        <v>310</v>
      </c>
      <c r="D6" s="35">
        <f t="shared" si="0"/>
        <v>4.07894736842105</v>
      </c>
      <c r="E6" s="35">
        <f t="shared" si="1"/>
        <v>2.55186721991701</v>
      </c>
      <c r="F6" s="34"/>
      <c r="G6" s="34"/>
      <c r="H6" s="36">
        <f t="shared" si="2"/>
        <v>0.00532395314275723</v>
      </c>
      <c r="I6" s="34">
        <v>133</v>
      </c>
      <c r="J6" s="35">
        <f t="shared" si="3"/>
        <v>5.51867219917012</v>
      </c>
      <c r="K6" s="34">
        <v>2410</v>
      </c>
      <c r="L6" s="35">
        <f t="shared" si="4"/>
        <v>18.8612979817966</v>
      </c>
      <c r="M6" s="34" t="s">
        <v>239</v>
      </c>
    </row>
    <row r="7" spans="2:13">
      <c r="B7" s="37" t="s">
        <v>242</v>
      </c>
      <c r="C7" s="34">
        <v>305</v>
      </c>
      <c r="D7" s="38">
        <f t="shared" si="0"/>
        <v>4.01315789473684</v>
      </c>
      <c r="E7" s="38">
        <f t="shared" si="1"/>
        <v>2.55378486055777</v>
      </c>
      <c r="F7" s="34"/>
      <c r="G7" s="34"/>
      <c r="H7" s="39">
        <f t="shared" si="2"/>
        <v>0.00565110014236635</v>
      </c>
      <c r="I7" s="34">
        <v>139</v>
      </c>
      <c r="J7" s="38">
        <f t="shared" si="3"/>
        <v>5.53784860557769</v>
      </c>
      <c r="K7" s="34">
        <v>2510</v>
      </c>
      <c r="L7" s="38">
        <f t="shared" si="4"/>
        <v>18.5067209390382</v>
      </c>
      <c r="M7" s="34"/>
    </row>
    <row r="8" spans="2:13">
      <c r="B8" s="33" t="s">
        <v>243</v>
      </c>
      <c r="C8" s="34"/>
      <c r="D8" s="35">
        <f t="shared" si="0"/>
        <v>0</v>
      </c>
      <c r="E8" s="35">
        <f t="shared" si="1"/>
        <v>0</v>
      </c>
      <c r="F8" s="34"/>
      <c r="G8" s="34"/>
      <c r="H8" s="36">
        <f t="shared" si="2"/>
        <v>0</v>
      </c>
      <c r="I8" s="34"/>
      <c r="J8" s="35">
        <f t="shared" si="3"/>
        <v>0</v>
      </c>
      <c r="K8" s="34"/>
      <c r="L8" s="35">
        <f t="shared" si="4"/>
        <v>0</v>
      </c>
      <c r="M8" s="34"/>
    </row>
    <row r="9" spans="2:13">
      <c r="B9" s="37" t="s">
        <v>244</v>
      </c>
      <c r="C9" s="34"/>
      <c r="D9" s="38">
        <f t="shared" si="0"/>
        <v>0</v>
      </c>
      <c r="E9" s="38">
        <f t="shared" si="1"/>
        <v>0</v>
      </c>
      <c r="F9" s="34"/>
      <c r="G9" s="34"/>
      <c r="H9" s="39">
        <f t="shared" si="2"/>
        <v>0</v>
      </c>
      <c r="I9" s="34"/>
      <c r="J9" s="38">
        <f t="shared" si="3"/>
        <v>0</v>
      </c>
      <c r="K9" s="34"/>
      <c r="L9" s="38">
        <f t="shared" si="4"/>
        <v>0</v>
      </c>
      <c r="M9" s="34"/>
    </row>
    <row r="11" spans="2:13">
      <c r="B11" s="40">
        <v>45544</v>
      </c>
      <c r="K11" s="20" t="s">
        <v>113</v>
      </c>
    </row>
    <row r="13" spans="2:13">
      <c r="B13" s="41"/>
      <c r="C13" s="41"/>
      <c r="D13" s="41"/>
      <c r="E13" s="41"/>
      <c r="F13" s="41"/>
      <c r="G13" s="41"/>
    </row>
    <row r="14" spans="2:13">
      <c r="B14" s="41"/>
    </row>
  </sheetData>
  <pageMargins left="0.7" right="0.7" top="0.75" bottom="0.75" header="0.3" footer="0.3"/>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Tipos Test</vt:lpstr>
      <vt:lpstr>Pretest</vt:lpstr>
      <vt:lpstr>Protocolo San Millan</vt:lpstr>
      <vt:lpstr>Datos PSM</vt:lpstr>
      <vt:lpstr>Aclarado</vt:lpstr>
      <vt:lpstr>Datos Aclarado</vt:lpstr>
      <vt:lpstr>Test Lactato</vt:lpstr>
      <vt:lpstr>Test Lactato y Zonas</vt:lpstr>
      <vt:lpstr>Cálculo Distancia</vt:lpstr>
      <vt:lpstr>Calculadora Puertos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Microsoft Office</dc:creator>
  <cp:lastModifiedBy>Saul Armendariz</cp:lastModifiedBy>
  <dcterms:created xsi:type="dcterms:W3CDTF">2017-05-25T11:39:00Z</dcterms:created>
  <dcterms:modified xsi:type="dcterms:W3CDTF">2026-06-03T12:05:49Z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1E5F0BC7885C4B32B01D20E2355F971F_12</vt:lpwstr>
  </property>
  <property fmtid="{D5CDD505-2E9C-101B-9397-08002B2CF9AE}" pid="3" name="KSOProductBuildVer">
    <vt:lpwstr>3082-12.1.0.26880</vt:lpwstr>
  </property>
  <property fmtid="{D5CDD505-2E9C-101B-9397-08002B2CF9AE}" pid="4" name="CalculationRule">
    <vt:i4>0</vt:i4>
  </property>
</Properties>
</file>